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75" windowWidth="8790" windowHeight="6915" activeTab="1"/>
  </bookViews>
  <sheets>
    <sheet name="説明" sheetId="1" r:id="rId1"/>
    <sheet name="N値計算法" sheetId="2" r:id="rId2"/>
    <sheet name="金物表" sheetId="3" r:id="rId3"/>
  </sheets>
  <definedNames>
    <definedName name="_0">#N/A</definedName>
    <definedName name="_xlfn.SHEETS" hidden="1">#NAME?</definedName>
    <definedName name="\p">#REF!</definedName>
    <definedName name="_xlnm.Print_Area" localSheetId="1">'N値計算法'!$A$1:$U$37</definedName>
    <definedName name="_xlnm.Print_Area" localSheetId="2">'金物表'!$B$2:$F$32</definedName>
    <definedName name="_xlnm.Print_Area" localSheetId="0">'説明'!#REF!</definedName>
  </definedNames>
  <calcPr fullCalcOnLoad="1"/>
</workbook>
</file>

<file path=xl/comments2.xml><?xml version="1.0" encoding="utf-8"?>
<comments xmlns="http://schemas.openxmlformats.org/spreadsheetml/2006/main">
  <authors>
    <author>AKIRA OTA</author>
    <author>戸澤　光弘</author>
    <author>ルート構造設計事務所</author>
  </authors>
  <commentList>
    <comment ref="C3" authorId="0">
      <text>
        <r>
          <rPr>
            <b/>
            <sz val="11"/>
            <rFont val="ＭＳ Ｐゴシック"/>
            <family val="3"/>
          </rPr>
          <t>計算する柱の階数を選択</t>
        </r>
      </text>
    </comment>
    <comment ref="D5" authorId="0">
      <text>
        <r>
          <rPr>
            <b/>
            <sz val="10"/>
            <rFont val="ＭＳ Ｐゴシック"/>
            <family val="3"/>
          </rPr>
          <t>出隅 or その他を選択</t>
        </r>
      </text>
    </comment>
    <comment ref="D6" authorId="0">
      <text>
        <r>
          <rPr>
            <b/>
            <sz val="10"/>
            <rFont val="ＭＳ Ｐゴシック"/>
            <family val="3"/>
          </rPr>
          <t>出隅 or その他を選択</t>
        </r>
      </text>
    </comment>
    <comment ref="D7" authorId="0">
      <text>
        <r>
          <rPr>
            <b/>
            <sz val="10"/>
            <rFont val="ＭＳ Ｐゴシック"/>
            <family val="3"/>
          </rPr>
          <t>出隅 or その他を選択</t>
        </r>
      </text>
    </comment>
    <comment ref="K7" authorId="0">
      <text>
        <r>
          <rPr>
            <b/>
            <sz val="10"/>
            <rFont val="ＭＳ Ｐゴシック"/>
            <family val="3"/>
          </rPr>
          <t>壁種類等を選択</t>
        </r>
      </text>
    </comment>
    <comment ref="L7" authorId="0">
      <text>
        <r>
          <rPr>
            <b/>
            <sz val="10"/>
            <rFont val="ＭＳ Ｐゴシック"/>
            <family val="3"/>
          </rPr>
          <t>壁種類等を選択</t>
        </r>
      </text>
    </comment>
    <comment ref="K12" authorId="0">
      <text>
        <r>
          <rPr>
            <b/>
            <sz val="10"/>
            <rFont val="ＭＳ Ｐゴシック"/>
            <family val="3"/>
          </rPr>
          <t>壁種類等を選択</t>
        </r>
      </text>
    </comment>
    <comment ref="L12" authorId="0">
      <text>
        <r>
          <rPr>
            <b/>
            <sz val="10"/>
            <rFont val="ＭＳ Ｐゴシック"/>
            <family val="3"/>
          </rPr>
          <t>壁種類等を選択</t>
        </r>
      </text>
    </comment>
    <comment ref="K17" authorId="0">
      <text>
        <r>
          <rPr>
            <b/>
            <sz val="10"/>
            <rFont val="ＭＳ Ｐゴシック"/>
            <family val="3"/>
          </rPr>
          <t>壁種類等を選択</t>
        </r>
      </text>
    </comment>
    <comment ref="L17" authorId="0">
      <text>
        <r>
          <rPr>
            <b/>
            <sz val="10"/>
            <rFont val="ＭＳ Ｐゴシック"/>
            <family val="3"/>
          </rPr>
          <t>壁種類等を選択</t>
        </r>
      </text>
    </comment>
    <comment ref="E3" authorId="1">
      <text>
        <r>
          <rPr>
            <b/>
            <sz val="11"/>
            <rFont val="ＭＳ Ｐゴシック"/>
            <family val="3"/>
          </rPr>
          <t>コメント</t>
        </r>
      </text>
    </comment>
    <comment ref="K22" authorId="0">
      <text>
        <r>
          <rPr>
            <b/>
            <sz val="10"/>
            <rFont val="ＭＳ Ｐゴシック"/>
            <family val="3"/>
          </rPr>
          <t>左側スパン(隅の場合は消去)</t>
        </r>
      </text>
    </comment>
    <comment ref="L22" authorId="0">
      <text>
        <r>
          <rPr>
            <b/>
            <sz val="10"/>
            <rFont val="ＭＳ Ｐゴシック"/>
            <family val="3"/>
          </rPr>
          <t>右側スパン(隅の場合は消去)</t>
        </r>
      </text>
    </comment>
    <comment ref="I7" authorId="2">
      <text>
        <r>
          <rPr>
            <b/>
            <sz val="10"/>
            <rFont val="ＭＳ Ｐゴシック"/>
            <family val="3"/>
          </rPr>
          <t>階高</t>
        </r>
      </text>
    </comment>
    <comment ref="I12" authorId="2">
      <text>
        <r>
          <rPr>
            <b/>
            <sz val="10"/>
            <rFont val="ＭＳ Ｐゴシック"/>
            <family val="3"/>
          </rPr>
          <t>階高</t>
        </r>
      </text>
    </comment>
    <comment ref="I17" authorId="2">
      <text>
        <r>
          <rPr>
            <b/>
            <sz val="10"/>
            <rFont val="ＭＳ Ｐゴシック"/>
            <family val="3"/>
          </rPr>
          <t>階高</t>
        </r>
      </text>
    </comment>
  </commentList>
</comments>
</file>

<file path=xl/sharedStrings.xml><?xml version="1.0" encoding="utf-8"?>
<sst xmlns="http://schemas.openxmlformats.org/spreadsheetml/2006/main" count="163" uniqueCount="139">
  <si>
    <t>L</t>
  </si>
  <si>
    <t>柱頭柱脚接合金物の計算(N値計算法)</t>
  </si>
  <si>
    <t>出隅柱</t>
  </si>
  <si>
    <t>2F</t>
  </si>
  <si>
    <t>その他の柱</t>
  </si>
  <si>
    <t>該当柱の階数</t>
  </si>
  <si>
    <t>該当柱の位置</t>
  </si>
  <si>
    <t>最上階</t>
  </si>
  <si>
    <t>上から2番目の階</t>
  </si>
  <si>
    <t>上から3番目の階</t>
  </si>
  <si>
    <t>3F</t>
  </si>
  <si>
    <t>2F</t>
  </si>
  <si>
    <t>1F</t>
  </si>
  <si>
    <t>1FL</t>
  </si>
  <si>
    <t>GL</t>
  </si>
  <si>
    <t>90 x 90 右上り</t>
  </si>
  <si>
    <t>90 x 90 左上り</t>
  </si>
  <si>
    <t>90 x 90 たすき</t>
  </si>
  <si>
    <t>セットバック</t>
  </si>
  <si>
    <t>B</t>
  </si>
  <si>
    <t>N</t>
  </si>
  <si>
    <t>T</t>
  </si>
  <si>
    <t>V</t>
  </si>
  <si>
    <t>P</t>
  </si>
  <si>
    <t>Q</t>
  </si>
  <si>
    <t>3+4</t>
  </si>
  <si>
    <t>4+5</t>
  </si>
  <si>
    <t>?</t>
  </si>
  <si>
    <t>( 青い柱が計算対象 )</t>
  </si>
  <si>
    <t>軸組図</t>
  </si>
  <si>
    <t>L : 鉛直荷重による押さえ効果</t>
  </si>
  <si>
    <t>B : 曲戻し効果</t>
  </si>
  <si>
    <t>必要金物 (柱頭柱脚)</t>
  </si>
  <si>
    <t>壁倍率の参考</t>
  </si>
  <si>
    <t>壁種類</t>
  </si>
  <si>
    <t>倍率</t>
  </si>
  <si>
    <t>左側倍率</t>
  </si>
  <si>
    <t>右側倍率</t>
  </si>
  <si>
    <t>せっこうボード等(片面)</t>
  </si>
  <si>
    <t>せっこうボード等(両面)</t>
  </si>
  <si>
    <t>ハードボード等(片面)</t>
  </si>
  <si>
    <t>パルプセメント板等(片面)</t>
  </si>
  <si>
    <t>パルプセメント板等(両面)</t>
  </si>
  <si>
    <t>土塗壁・木ずり等(片面)</t>
  </si>
  <si>
    <t>土塗壁・木ずり等(両面)</t>
  </si>
  <si>
    <t>ハードボード等(両面)</t>
  </si>
  <si>
    <t>構造用合板等(片面)</t>
  </si>
  <si>
    <t>構造用合板等(両面)</t>
  </si>
  <si>
    <t>直接入力 1</t>
  </si>
  <si>
    <t>直接入力 2</t>
  </si>
  <si>
    <t>直接入力 3</t>
  </si>
  <si>
    <t>直接入力 4</t>
  </si>
  <si>
    <t>直接入力 5</t>
  </si>
  <si>
    <t>3F</t>
  </si>
  <si>
    <t>1F</t>
  </si>
  <si>
    <t>壁倍率無し</t>
  </si>
  <si>
    <t>必要引張耐力</t>
  </si>
  <si>
    <t>Ｌ字型かど金物</t>
  </si>
  <si>
    <t>長ほぞ差し込み栓打</t>
  </si>
  <si>
    <t>5kN 用ホールダウン金物</t>
  </si>
  <si>
    <t>Ｔ字型かど金物</t>
  </si>
  <si>
    <t>山形プレート金物</t>
  </si>
  <si>
    <t>10kN 用ホールダウン金物</t>
  </si>
  <si>
    <t>15kN 用ホールダウン金物</t>
  </si>
  <si>
    <t>20kN 用ホールダウン金物</t>
  </si>
  <si>
    <t>25kN 用ホールダウン金物</t>
  </si>
  <si>
    <t>30kN 用ホールダウン金物</t>
  </si>
  <si>
    <t>35kN 用ホールダウン金物</t>
  </si>
  <si>
    <t>40kN 用ホールダウン金物</t>
  </si>
  <si>
    <t>45kN 用ホールダウン金物</t>
  </si>
  <si>
    <t>50kN 用ホールダウン金物</t>
  </si>
  <si>
    <t>55kN 用ホールダウン金物</t>
  </si>
  <si>
    <t>60kN 用ホールダウン金物</t>
  </si>
  <si>
    <t>N値の計算</t>
  </si>
  <si>
    <t>入力用軸組</t>
  </si>
  <si>
    <t>( 2重線の柱が計算対象 )</t>
  </si>
  <si>
    <t>15 x 90 右上り</t>
  </si>
  <si>
    <t>15 x 90 左上り</t>
  </si>
  <si>
    <t>15 x 90 たすき</t>
  </si>
  <si>
    <t>30 x 90 右上り</t>
  </si>
  <si>
    <t>30 x 90 左上り</t>
  </si>
  <si>
    <t>30 x 90 たすき</t>
  </si>
  <si>
    <t>45 x 90 右上り</t>
  </si>
  <si>
    <t>45 x 90 左上り</t>
  </si>
  <si>
    <t>45 x 90 たすき</t>
  </si>
  <si>
    <t>5+6</t>
  </si>
  <si>
    <t>ソフトの概要</t>
  </si>
  <si>
    <t>作者への問い合わせ先</t>
  </si>
  <si>
    <t>3階建てにも対応しています。</t>
  </si>
  <si>
    <t>新告示1460号と比較してみてください。</t>
  </si>
  <si>
    <t>木造軸組み工法の柱頭柱脚金物を算出するN値計算法を視覚的に理解できるように作成しました。</t>
  </si>
  <si>
    <t>本ソフトを使用したことにより生じたいかなる損害等も責任を負いかねますので</t>
  </si>
  <si>
    <t>ご自身の責任の元に使用していただくようお願いします。</t>
  </si>
  <si>
    <t>青字のセルが入力セルです。</t>
  </si>
  <si>
    <t>上限</t>
  </si>
  <si>
    <t>5.0倍 (壁量規定)</t>
  </si>
  <si>
    <t>7.0倍 (許容応力度)</t>
  </si>
  <si>
    <t>木造N値計算法</t>
  </si>
  <si>
    <t>N値計算法における注意点</t>
  </si>
  <si>
    <t>N値計算法はあくまでも略算法であり、結果は概ね安全側に出る傾向にありますが、</t>
  </si>
  <si>
    <t>必ずしも安全側に出るとは限りません。</t>
  </si>
  <si>
    <t>N値計算法は構造階高を2,700mmと仮定しているので、</t>
  </si>
  <si>
    <t>これよりも大きな階高の場合は危険側になる可能性があります。</t>
  </si>
  <si>
    <t>1つの目安としては階高3,000mm以内が適用範囲であると考えられます。</t>
  </si>
  <si>
    <t>(柱の長期負担軸力が小さい場合は注意が必要です。)</t>
  </si>
  <si>
    <t>(N値に対する倍率 5.3kN は 1.96kN/m(壁倍率単位) x 2.7m(階高) より導かれています。)</t>
  </si>
  <si>
    <t>ご意見、ご感想、バグ等があれば下記までお気軽にご連絡して下さい。</t>
  </si>
  <si>
    <t>全階</t>
  </si>
  <si>
    <t>合板 + 45x90 右上り</t>
  </si>
  <si>
    <t>合板 + 45x90 左上り</t>
  </si>
  <si>
    <t>壁倍率無し</t>
  </si>
  <si>
    <t>階</t>
  </si>
  <si>
    <t>羽子板ボルトφ12㎜ 又は、短冊金物φ12㎜</t>
  </si>
  <si>
    <t>羽子板ボルトφ12㎜に長さ50㎜径4.5㎜スクリュー釘</t>
  </si>
  <si>
    <t>N値の計算式</t>
  </si>
  <si>
    <t>必要引張耐力</t>
  </si>
  <si>
    <t>必要金物 (柱頭柱脚)</t>
  </si>
  <si>
    <t>マクロを有効にしない場合は表に作成ができませんが計算は行います。</t>
  </si>
  <si>
    <t>その他の柱</t>
  </si>
  <si>
    <t>K</t>
  </si>
  <si>
    <t>かすがい打</t>
  </si>
  <si>
    <t>( い )</t>
  </si>
  <si>
    <t>( ろ )</t>
  </si>
  <si>
    <t>( は )</t>
  </si>
  <si>
    <t>( に )</t>
  </si>
  <si>
    <t>( ほ )</t>
  </si>
  <si>
    <t>( へ )</t>
  </si>
  <si>
    <t>( と )</t>
  </si>
  <si>
    <t>( ち )</t>
  </si>
  <si>
    <t>( り )</t>
  </si>
  <si>
    <t>( ぬ )</t>
  </si>
  <si>
    <t>6+7</t>
  </si>
  <si>
    <t>65kN 用ホールダウン金物</t>
  </si>
  <si>
    <t>70kN 用ホールダウン金物</t>
  </si>
  <si>
    <t>E-MAIL</t>
  </si>
  <si>
    <t>root21@nifty.com</t>
  </si>
  <si>
    <t>http://homepage1.nifty.com/MANBOU/index.html</t>
  </si>
  <si>
    <t>直接入力 1</t>
  </si>
  <si>
    <t>3F</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</si>
</sst>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0000"/>
    <numFmt numFmtId="179" formatCode="0.0"/>
    <numFmt numFmtId="180" formatCode=";;;"/>
    <numFmt numFmtId="181" formatCode="#,##0.0_ ;[Red]\-#,##0.0\ "/>
    <numFmt numFmtId="182" formatCode="#,##0.00_ ;[Red]\-#,##0.00\ "/>
    <numFmt numFmtId="183" formatCode="#,##0_ ;[Red]\-#,##0\ "/>
    <numFmt numFmtId="184" formatCode="#,##0.000_ ;[Red]\-#,##0.000\ "/>
    <numFmt numFmtId="185" formatCode="#,##0.0&quot;&quot;_ ;[Red]\-#,##0.0\ "/>
    <numFmt numFmtId="186" formatCode="#,##0.0&quot;゜&quot;_ ;[Red]\-#,##0.0\ "/>
    <numFmt numFmtId="187" formatCode="0.0_ ;[Red]\-0.0\ "/>
    <numFmt numFmtId="188" formatCode="0.0_ "/>
    <numFmt numFmtId="189" formatCode="&quot;= &quot;#,##0.00_ ;[Red]\-#,##0.00\ "/>
    <numFmt numFmtId="190" formatCode="&quot; = &quot;#,##0.00_ ;[Red]\-#,##0.00\ "/>
    <numFmt numFmtId="191" formatCode="&quot;D&quot;#,##0_ ;[Red]\-#,##0\ "/>
    <numFmt numFmtId="192" formatCode="&quot;- D&quot;#,##0_ ;[Red]\-#,##0\ "/>
    <numFmt numFmtId="193" formatCode="&quot;fs = &quot;#,##0.0_ ;[Red]\-#,##0.0\ "/>
    <numFmt numFmtId="194" formatCode="&quot; = &quot;#,##0.0_ ;[Red]\-#,##0.0\ "/>
    <numFmt numFmtId="195" formatCode="0.00_ ;[Red]\-0.00\ "/>
    <numFmt numFmtId="196" formatCode="#,##0.0_ "/>
    <numFmt numFmtId="197" formatCode="&quot; = &quot;#,##0.00_ ;[Red]\-&quot; = &quot;#,##0.00\ "/>
    <numFmt numFmtId="198" formatCode="&quot; = &quot;#,##0.00_ ;[Red]&quot; = &quot;\-#,##0.00\ "/>
    <numFmt numFmtId="199" formatCode="&quot; = &quot;#,##0.000_ ;[Red]&quot; = &quot;\-#,##0.000\ "/>
    <numFmt numFmtId="200" formatCode="&quot; = 1/&quot;#,##0.00_ ;[Red]&quot; = 1/&quot;\-#,##0.00\ "/>
    <numFmt numFmtId="201" formatCode="&quot; = 1 / &quot;#,##0.00_ ;[Red]&quot; = 1 / &quot;\-#,##0.00\ "/>
    <numFmt numFmtId="202" formatCode="&quot; = &quot;0.00_ ;[Red]&quot; = &quot;\-0.00\ "/>
    <numFmt numFmtId="203" formatCode="&quot;fs = &quot;#,##0.0&quot; (kg/cm2)&quot;_ ;[Red]\-#,##0.0\ "/>
    <numFmt numFmtId="204" formatCode="#,##0_ "/>
    <numFmt numFmtId="205" formatCode="#,##0.00_ "/>
    <numFmt numFmtId="206" formatCode="0.00_ "/>
    <numFmt numFmtId="207" formatCode="0_ "/>
    <numFmt numFmtId="208" formatCode="&quot;(@&quot;#,##0&quot;)&quot;_ ;[Red]\-#,##0\ "/>
    <numFmt numFmtId="209" formatCode="&quot;(&quot;#,##0.00&quot;)&quot;_ ;[Red]\-#,##0.00\ "/>
    <numFmt numFmtId="210" formatCode="&quot;1 / &quot;#,##0.00_ ;[Red]\-#,##0.00\ "/>
    <numFmt numFmtId="211" formatCode="&quot; = 1 / &quot;#,##0.00_ ;[Red]\-#,##0.00\ "/>
    <numFmt numFmtId="212" formatCode="#,##0.00&quot; ,&quot;_ ;[Red]\-#,##0.00\ "/>
    <numFmt numFmtId="213" formatCode="&quot; (@&quot;#,##0&quot;)&quot;_ ;[Red]\-#,##0\ "/>
    <numFmt numFmtId="214" formatCode="&quot;fs = &quot;#,##0.0&quot; (kgf/cm2)&quot;_ ;[Red]\-#,##0.0\ "/>
    <numFmt numFmtId="215" formatCode="0_ ;[Red]\-0\ "/>
    <numFmt numFmtId="216" formatCode="0_);[Red]\(0\)"/>
    <numFmt numFmtId="217" formatCode="&quot;- @&quot;#,##0_ ;[Red]\-#,##0\ "/>
    <numFmt numFmtId="218" formatCode="#,##0.0000_ ;[Red]\-#,##0.0000\ "/>
    <numFmt numFmtId="219" formatCode="#,##0.00000_ ;[Red]\-#,##0.00000\ "/>
    <numFmt numFmtId="220" formatCode="#,##0.000000_ ;[Red]\-#,##0.000000\ "/>
    <numFmt numFmtId="221" formatCode="#,##0.0000000_ ;[Red]\-#,##0.0000000\ "/>
    <numFmt numFmtId="222" formatCode="#,##0.00000000_ ;[Red]\-#,##0.00000000\ "/>
    <numFmt numFmtId="223" formatCode="&quot;～  &quot;#,##0_ ;[Red]\-#,##0\ "/>
    <numFmt numFmtId="224" formatCode="&quot;Fc &quot;#,##0_ ;[Red]\-#,##0\ "/>
    <numFmt numFmtId="225" formatCode="0.00_);[Red]\(0.00\)"/>
    <numFmt numFmtId="226" formatCode="#,##0&quot; -&quot;_ ;[Red]\-#,##0\ "/>
    <numFmt numFmtId="227" formatCode="&quot;～ &quot;#,##0_ ;[Red]\-#,##0\ "/>
    <numFmt numFmtId="228" formatCode="&quot;/ &quot;#,##0_ ;[Red]\-#,##0\ "/>
    <numFmt numFmtId="229" formatCode="&quot;ft = &quot;#,##0_ ;[Red]\-#,##0\ "/>
    <numFmt numFmtId="230" formatCode="&quot;( &quot;#,##0.00&quot; )&quot;_ ;[Red]\-&quot;( &quot;#,##0.00&quot; )&quot;\ "/>
    <numFmt numFmtId="231" formatCode="&quot;P. &quot;#,##0_ ;[Red]\-#,##0\ "/>
    <numFmt numFmtId="232" formatCode="#,##0;&quot;△ &quot;#,##0"/>
    <numFmt numFmtId="233" formatCode="[$-411]&quot;( &quot;g&quot; )&quot;/General"/>
    <numFmt numFmtId="234" formatCode="&quot;( &quot;"/>
    <numFmt numFmtId="235" formatCode="&quot;( &quot;@&quot; )&quot;"/>
    <numFmt numFmtId="236" formatCode="#,##0.0&quot; -&quot;_ ;[Red]\-#,##0.0\ "/>
    <numFmt numFmtId="237" formatCode="[$-411]g&quot;F&quot;/General"/>
    <numFmt numFmtId="238" formatCode="#,##0&quot;F&quot;_ ;[Red]\-#,##0\ "/>
    <numFmt numFmtId="239" formatCode="&quot;( &quot;#,##0.0&quot; 倍 )&quot;_ ;[Red]\-#,##0.0\ "/>
  </numFmts>
  <fonts count="52">
    <font>
      <sz val="11"/>
      <name val="ＭＳ Ｐゴシック"/>
      <family val="3"/>
    </font>
    <font>
      <sz val="6"/>
      <name val="ＭＳ Ｐゴシック"/>
      <family val="3"/>
    </font>
    <font>
      <sz val="10"/>
      <name val="ＭＳ Ｐゴシック"/>
      <family val="3"/>
    </font>
    <font>
      <sz val="11"/>
      <color indexed="12"/>
      <name val="ＭＳ Ｐゴシック"/>
      <family val="3"/>
    </font>
    <font>
      <sz val="12"/>
      <name val="ＭＳ Ｐゴシック"/>
      <family val="3"/>
    </font>
    <font>
      <u val="single"/>
      <sz val="11"/>
      <color indexed="12"/>
      <name val="ＭＳ Ｐゴシック"/>
      <family val="3"/>
    </font>
    <font>
      <sz val="11"/>
      <color indexed="39"/>
      <name val="ＭＳ Ｐゴシック"/>
      <family val="3"/>
    </font>
    <font>
      <b/>
      <sz val="11"/>
      <name val="ＭＳ Ｐゴシック"/>
      <family val="3"/>
    </font>
    <font>
      <sz val="10"/>
      <color indexed="12"/>
      <name val="ＭＳ Ｐゴシック"/>
      <family val="3"/>
    </font>
    <font>
      <b/>
      <sz val="10"/>
      <name val="ＭＳ Ｐゴシック"/>
      <family val="3"/>
    </font>
    <font>
      <sz val="11"/>
      <color indexed="10"/>
      <name val="ＭＳ Ｐゴシック"/>
      <family val="3"/>
    </font>
    <font>
      <sz val="11"/>
      <color indexed="9"/>
      <name val="ＭＳ Ｐゴシック"/>
      <family val="3"/>
    </font>
    <font>
      <sz val="10"/>
      <color indexed="9"/>
      <name val="ＭＳ Ｐゴシック"/>
      <family val="3"/>
    </font>
    <font>
      <u val="single"/>
      <sz val="11"/>
      <color indexed="36"/>
      <name val="ＭＳ Ｐゴシック"/>
      <family val="3"/>
    </font>
    <font>
      <sz val="6"/>
      <color indexed="9"/>
      <name val="ＭＳ Ｐゴシック"/>
      <family val="3"/>
    </font>
    <font>
      <sz val="5"/>
      <color indexed="8"/>
      <name val="ＭＳ Ｐゴシック"/>
      <family val="3"/>
    </font>
    <font>
      <sz val="11"/>
      <color indexed="8"/>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b/>
      <sz val="14"/>
      <color indexed="12"/>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double"/>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double"/>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ouble"/>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color indexed="63"/>
      </top>
      <bottom style="thin"/>
    </border>
    <border>
      <left>
        <color indexed="63"/>
      </left>
      <right style="thin"/>
      <top>
        <color indexed="63"/>
      </top>
      <bottom style="thin"/>
    </border>
    <border>
      <left>
        <color indexed="63"/>
      </left>
      <right>
        <color indexed="63"/>
      </right>
      <top>
        <color indexed="63"/>
      </top>
      <bottom style="dashDot"/>
    </border>
    <border>
      <left>
        <color indexed="63"/>
      </left>
      <right>
        <color indexed="63"/>
      </right>
      <top style="thin"/>
      <bottom style="dashDot"/>
    </border>
    <border>
      <left style="thin"/>
      <right style="thin"/>
      <top>
        <color indexed="63"/>
      </top>
      <bottom style="thin"/>
    </border>
    <border diagonalUp="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13" fillId="0" borderId="0" applyNumberFormat="0" applyFill="0" applyBorder="0" applyAlignment="0" applyProtection="0"/>
    <xf numFmtId="0" fontId="49" fillId="32" borderId="0" applyNumberFormat="0" applyBorder="0" applyAlignment="0" applyProtection="0"/>
  </cellStyleXfs>
  <cellXfs count="100">
    <xf numFmtId="0" fontId="0" fillId="0" borderId="0" xfId="0" applyAlignment="1">
      <alignment/>
    </xf>
    <xf numFmtId="0" fontId="4"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protection hidden="1"/>
    </xf>
    <xf numFmtId="0" fontId="0" fillId="0" borderId="0" xfId="0" applyAlignment="1" applyProtection="1">
      <alignment horizontal="center"/>
      <protection hidden="1"/>
    </xf>
    <xf numFmtId="0" fontId="4" fillId="0" borderId="0" xfId="0" applyFont="1" applyAlignment="1" applyProtection="1">
      <alignment horizontal="left"/>
      <protection hidden="1"/>
    </xf>
    <xf numFmtId="0" fontId="0" fillId="0" borderId="0" xfId="0" applyAlignment="1" applyProtection="1">
      <alignment/>
      <protection hidden="1"/>
    </xf>
    <xf numFmtId="0" fontId="0" fillId="0" borderId="0" xfId="0" applyAlignment="1" applyProtection="1">
      <alignment horizontal="left"/>
      <protection hidden="1"/>
    </xf>
    <xf numFmtId="181" fontId="0" fillId="0" borderId="10" xfId="0" applyNumberFormat="1" applyBorder="1" applyAlignment="1" applyProtection="1">
      <alignment horizontal="center" shrinkToFit="1"/>
      <protection hidden="1"/>
    </xf>
    <xf numFmtId="0" fontId="0" fillId="0" borderId="10" xfId="0" applyBorder="1" applyAlignment="1" applyProtection="1">
      <alignment horizontal="center" shrinkToFit="1"/>
      <protection hidden="1"/>
    </xf>
    <xf numFmtId="0" fontId="0" fillId="0" borderId="0" xfId="0" applyBorder="1" applyAlignment="1" applyProtection="1">
      <alignment/>
      <protection hidden="1"/>
    </xf>
    <xf numFmtId="0" fontId="0" fillId="0" borderId="0" xfId="0" applyBorder="1" applyAlignment="1" applyProtection="1">
      <alignment horizontal="center"/>
      <protection hidden="1"/>
    </xf>
    <xf numFmtId="0" fontId="2" fillId="0" borderId="11" xfId="0" applyFont="1" applyBorder="1" applyAlignment="1" applyProtection="1">
      <alignment horizontal="center"/>
      <protection hidden="1"/>
    </xf>
    <xf numFmtId="0" fontId="0" fillId="0" borderId="0" xfId="0" applyAlignment="1" applyProtection="1">
      <alignment horizontal="center" shrinkToFit="1"/>
      <protection hidden="1"/>
    </xf>
    <xf numFmtId="181" fontId="0" fillId="0" borderId="0" xfId="0" applyNumberFormat="1" applyFont="1" applyAlignment="1" applyProtection="1">
      <alignment horizontal="center" shrinkToFit="1"/>
      <protection hidden="1"/>
    </xf>
    <xf numFmtId="0" fontId="2" fillId="0" borderId="12" xfId="0" applyFont="1" applyBorder="1" applyAlignment="1" applyProtection="1">
      <alignment horizontal="center"/>
      <protection hidden="1"/>
    </xf>
    <xf numFmtId="0" fontId="0" fillId="0" borderId="13" xfId="0" applyBorder="1" applyAlignment="1" applyProtection="1">
      <alignment horizontal="center" vertical="center" shrinkToFit="1"/>
      <protection hidden="1"/>
    </xf>
    <xf numFmtId="0" fontId="0" fillId="0" borderId="14" xfId="0" applyBorder="1" applyAlignment="1" applyProtection="1">
      <alignment horizontal="center" vertical="center" shrinkToFit="1"/>
      <protection hidden="1"/>
    </xf>
    <xf numFmtId="0" fontId="2" fillId="0" borderId="15" xfId="0" applyFont="1" applyBorder="1" applyAlignment="1" applyProtection="1">
      <alignment horizontal="center"/>
      <protection hidden="1"/>
    </xf>
    <xf numFmtId="0" fontId="0" fillId="0" borderId="16" xfId="0"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239" fontId="2" fillId="0" borderId="16" xfId="0" applyNumberFormat="1" applyFont="1" applyBorder="1" applyAlignment="1" applyProtection="1">
      <alignment horizontal="center" vertical="center" shrinkToFit="1"/>
      <protection hidden="1"/>
    </xf>
    <xf numFmtId="239" fontId="2" fillId="0" borderId="17" xfId="0" applyNumberFormat="1" applyFont="1" applyBorder="1" applyAlignment="1" applyProtection="1">
      <alignment horizontal="center" vertical="center" shrinkToFit="1"/>
      <protection hidden="1"/>
    </xf>
    <xf numFmtId="0" fontId="2" fillId="0" borderId="18" xfId="0" applyFont="1" applyBorder="1" applyAlignment="1" applyProtection="1">
      <alignment horizontal="center"/>
      <protection hidden="1"/>
    </xf>
    <xf numFmtId="0" fontId="0" fillId="0" borderId="18" xfId="0" applyBorder="1" applyAlignment="1" applyProtection="1">
      <alignment horizontal="center" vertical="center" shrinkToFit="1"/>
      <protection hidden="1"/>
    </xf>
    <xf numFmtId="0" fontId="0" fillId="0" borderId="19" xfId="0" applyBorder="1" applyAlignment="1" applyProtection="1">
      <alignment horizontal="center" vertical="center" shrinkToFit="1"/>
      <protection hidden="1"/>
    </xf>
    <xf numFmtId="183" fontId="0" fillId="0" borderId="0" xfId="0" applyNumberFormat="1" applyAlignment="1" applyProtection="1">
      <alignment horizontal="center"/>
      <protection hidden="1"/>
    </xf>
    <xf numFmtId="0" fontId="0" fillId="0" borderId="20" xfId="0" applyBorder="1" applyAlignment="1" applyProtection="1">
      <alignment horizontal="center" shrinkToFit="1"/>
      <protection hidden="1"/>
    </xf>
    <xf numFmtId="0" fontId="0" fillId="0" borderId="21" xfId="0" applyBorder="1" applyAlignment="1" applyProtection="1">
      <alignment horizontal="center" shrinkToFit="1"/>
      <protection hidden="1"/>
    </xf>
    <xf numFmtId="0" fontId="0" fillId="0" borderId="22" xfId="0" applyBorder="1" applyAlignment="1" applyProtection="1">
      <alignment horizontal="center" shrinkToFit="1"/>
      <protection hidden="1"/>
    </xf>
    <xf numFmtId="0" fontId="0" fillId="0" borderId="23" xfId="0" applyBorder="1" applyAlignment="1" applyProtection="1">
      <alignment horizontal="center" vertical="center" shrinkToFit="1"/>
      <protection hidden="1"/>
    </xf>
    <xf numFmtId="0" fontId="0" fillId="0" borderId="24" xfId="0" applyBorder="1" applyAlignment="1" applyProtection="1">
      <alignment horizontal="center" vertical="center" shrinkToFit="1"/>
      <protection hidden="1"/>
    </xf>
    <xf numFmtId="0" fontId="2" fillId="0" borderId="0" xfId="0" applyFont="1" applyAlignment="1" applyProtection="1">
      <alignment horizontal="center" vertical="center"/>
      <protection hidden="1"/>
    </xf>
    <xf numFmtId="0" fontId="0" fillId="0" borderId="25" xfId="0" applyBorder="1" applyAlignment="1" applyProtection="1">
      <alignment/>
      <protection hidden="1"/>
    </xf>
    <xf numFmtId="0" fontId="0" fillId="33" borderId="26" xfId="0" applyFill="1" applyBorder="1" applyAlignment="1" applyProtection="1">
      <alignment horizontal="center"/>
      <protection hidden="1"/>
    </xf>
    <xf numFmtId="0" fontId="10" fillId="0" borderId="0" xfId="0" applyFont="1" applyAlignment="1" applyProtection="1">
      <alignment horizontal="center" shrinkToFit="1"/>
      <protection hidden="1"/>
    </xf>
    <xf numFmtId="183" fontId="3" fillId="0" borderId="27" xfId="61" applyNumberFormat="1" applyFont="1" applyBorder="1" applyAlignment="1" applyProtection="1">
      <alignment horizontal="center" vertical="center" shrinkToFit="1"/>
      <protection hidden="1" locked="0"/>
    </xf>
    <xf numFmtId="183" fontId="3" fillId="0" borderId="24" xfId="61" applyNumberFormat="1" applyFont="1" applyBorder="1" applyAlignment="1" applyProtection="1">
      <alignment horizontal="center" vertical="center" shrinkToFit="1"/>
      <protection hidden="1" locked="0"/>
    </xf>
    <xf numFmtId="181" fontId="3" fillId="0" borderId="0" xfId="61" applyNumberFormat="1" applyFont="1" applyBorder="1" applyAlignment="1" applyProtection="1">
      <alignment horizontal="center" vertical="center" shrinkToFit="1"/>
      <protection hidden="1"/>
    </xf>
    <xf numFmtId="0" fontId="2" fillId="0" borderId="0" xfId="0" applyFont="1" applyAlignment="1" applyProtection="1">
      <alignment horizontal="right"/>
      <protection hidden="1"/>
    </xf>
    <xf numFmtId="181" fontId="3" fillId="0" borderId="28" xfId="0" applyNumberFormat="1" applyFont="1" applyBorder="1" applyAlignment="1" applyProtection="1">
      <alignment horizontal="center" shrinkToFit="1"/>
      <protection hidden="1"/>
    </xf>
    <xf numFmtId="181" fontId="3" fillId="0" borderId="10" xfId="0" applyNumberFormat="1" applyFont="1" applyBorder="1" applyAlignment="1" applyProtection="1">
      <alignment horizontal="center" shrinkToFit="1"/>
      <protection hidden="1" locked="0"/>
    </xf>
    <xf numFmtId="181" fontId="0" fillId="0" borderId="0" xfId="0" applyNumberFormat="1" applyBorder="1" applyAlignment="1" applyProtection="1">
      <alignment horizontal="center" shrinkToFit="1"/>
      <protection hidden="1"/>
    </xf>
    <xf numFmtId="0" fontId="0" fillId="0" borderId="0" xfId="0" applyFont="1" applyBorder="1" applyAlignment="1" applyProtection="1">
      <alignment horizontal="left" vertical="center"/>
      <protection hidden="1"/>
    </xf>
    <xf numFmtId="183" fontId="11" fillId="0" borderId="0" xfId="0" applyNumberFormat="1" applyFont="1" applyBorder="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applyAlignment="1" applyProtection="1">
      <alignment/>
      <protection hidden="1"/>
    </xf>
    <xf numFmtId="0" fontId="11" fillId="0" borderId="0" xfId="0" applyFont="1" applyBorder="1" applyAlignment="1" applyProtection="1">
      <alignment shrinkToFit="1"/>
      <protection hidden="1"/>
    </xf>
    <xf numFmtId="0" fontId="11" fillId="0" borderId="0" xfId="0" applyFont="1" applyBorder="1" applyAlignment="1" applyProtection="1">
      <alignment/>
      <protection hidden="1"/>
    </xf>
    <xf numFmtId="182" fontId="12" fillId="0" borderId="0" xfId="0" applyNumberFormat="1" applyFont="1" applyBorder="1" applyAlignment="1" applyProtection="1">
      <alignment horizontal="right" vertical="center" shrinkToFit="1"/>
      <protection hidden="1"/>
    </xf>
    <xf numFmtId="0" fontId="12" fillId="0" borderId="0" xfId="0" applyFont="1" applyBorder="1" applyAlignment="1" applyProtection="1">
      <alignment horizontal="center" vertical="center" shrinkToFit="1"/>
      <protection hidden="1"/>
    </xf>
    <xf numFmtId="183" fontId="11" fillId="0" borderId="0" xfId="0" applyNumberFormat="1" applyFont="1" applyFill="1" applyBorder="1" applyAlignment="1" applyProtection="1">
      <alignment horizontal="center" shrinkToFit="1"/>
      <protection hidden="1"/>
    </xf>
    <xf numFmtId="183" fontId="11" fillId="0" borderId="0" xfId="0" applyNumberFormat="1" applyFont="1" applyAlignment="1" applyProtection="1">
      <alignment horizontal="center" shrinkToFit="1"/>
      <protection hidden="1"/>
    </xf>
    <xf numFmtId="183" fontId="11" fillId="0" borderId="0" xfId="0" applyNumberFormat="1" applyFont="1" applyBorder="1" applyAlignment="1" applyProtection="1">
      <alignment horizontal="center" shrinkToFit="1"/>
      <protection hidden="1"/>
    </xf>
    <xf numFmtId="0" fontId="14" fillId="0" borderId="0" xfId="0" applyFont="1" applyBorder="1" applyAlignment="1" applyProtection="1">
      <alignment horizontal="center" vertical="center" wrapText="1" shrinkToFit="1"/>
      <protection hidden="1"/>
    </xf>
    <xf numFmtId="0" fontId="11" fillId="0" borderId="0" xfId="0" applyFont="1" applyBorder="1" applyAlignment="1" applyProtection="1">
      <alignment horizontal="center"/>
      <protection hidden="1"/>
    </xf>
    <xf numFmtId="0" fontId="0" fillId="0" borderId="12" xfId="0" applyBorder="1" applyAlignment="1" applyProtection="1">
      <alignment/>
      <protection hidden="1"/>
    </xf>
    <xf numFmtId="0" fontId="11" fillId="0" borderId="14" xfId="0" applyFont="1" applyBorder="1" applyAlignment="1" applyProtection="1">
      <alignment/>
      <protection hidden="1"/>
    </xf>
    <xf numFmtId="0" fontId="0" fillId="0" borderId="15" xfId="0" applyBorder="1" applyAlignment="1" applyProtection="1">
      <alignment horizontal="left" indent="1"/>
      <protection hidden="1"/>
    </xf>
    <xf numFmtId="0" fontId="11" fillId="0" borderId="17" xfId="0" applyFont="1" applyBorder="1" applyAlignment="1" applyProtection="1">
      <alignment/>
      <protection hidden="1"/>
    </xf>
    <xf numFmtId="0" fontId="0" fillId="0" borderId="15" xfId="0" applyBorder="1" applyAlignment="1" applyProtection="1">
      <alignment/>
      <protection hidden="1"/>
    </xf>
    <xf numFmtId="0" fontId="0" fillId="0" borderId="18" xfId="0" applyBorder="1" applyAlignment="1" applyProtection="1">
      <alignment/>
      <protection hidden="1"/>
    </xf>
    <xf numFmtId="0" fontId="11" fillId="0" borderId="24" xfId="0" applyFont="1" applyBorder="1" applyAlignment="1" applyProtection="1">
      <alignment/>
      <protection hidden="1"/>
    </xf>
    <xf numFmtId="0" fontId="11"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6" fillId="0" borderId="0" xfId="0" applyFont="1" applyAlignment="1" applyProtection="1">
      <alignment horizontal="center"/>
      <protection hidden="1" locked="0"/>
    </xf>
    <xf numFmtId="0" fontId="8" fillId="0" borderId="16" xfId="0" applyFont="1" applyBorder="1" applyAlignment="1" applyProtection="1">
      <alignment horizontal="center" vertical="center" shrinkToFit="1"/>
      <protection hidden="1" locked="0"/>
    </xf>
    <xf numFmtId="0" fontId="8" fillId="0" borderId="17" xfId="0" applyFont="1" applyBorder="1" applyAlignment="1" applyProtection="1">
      <alignment horizontal="center" vertical="center" shrinkToFit="1"/>
      <protection hidden="1" locked="0"/>
    </xf>
    <xf numFmtId="0" fontId="0" fillId="0" borderId="0" xfId="0" applyAlignment="1" applyProtection="1">
      <alignment/>
      <protection hidden="1" locked="0"/>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29" xfId="0" applyFont="1" applyBorder="1" applyAlignment="1">
      <alignment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2" fillId="0" borderId="27" xfId="0" applyFont="1" applyBorder="1" applyAlignment="1" applyProtection="1">
      <alignment horizontal="left" vertical="center" indent="1" shrinkToFit="1"/>
      <protection locked="0"/>
    </xf>
    <xf numFmtId="0" fontId="2" fillId="0" borderId="33"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0" xfId="0" applyFont="1" applyBorder="1" applyAlignment="1" applyProtection="1">
      <alignment horizontal="left" vertical="center" indent="1" shrinkToFit="1"/>
      <protection locked="0"/>
    </xf>
    <xf numFmtId="0" fontId="2" fillId="0" borderId="35" xfId="0"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2" fillId="0" borderId="37" xfId="0" applyFont="1" applyBorder="1" applyAlignment="1" applyProtection="1">
      <alignment horizontal="left" vertical="center" indent="1" shrinkToFit="1"/>
      <protection locked="0"/>
    </xf>
    <xf numFmtId="0" fontId="2" fillId="0" borderId="38" xfId="0" applyFont="1" applyBorder="1" applyAlignment="1" applyProtection="1">
      <alignment horizontal="center" vertical="center" shrinkToFit="1"/>
      <protection locked="0"/>
    </xf>
    <xf numFmtId="183" fontId="2" fillId="0" borderId="0" xfId="0" applyNumberFormat="1" applyFont="1" applyAlignment="1">
      <alignment horizontal="center" vertical="center" shrinkToFit="1"/>
    </xf>
    <xf numFmtId="0" fontId="12" fillId="0" borderId="0" xfId="0" applyFont="1" applyAlignment="1" applyProtection="1">
      <alignment vertical="center"/>
      <protection hidden="1"/>
    </xf>
    <xf numFmtId="183" fontId="50" fillId="0" borderId="15" xfId="0" applyNumberFormat="1" applyFont="1" applyBorder="1" applyAlignment="1" applyProtection="1">
      <alignment horizontal="center" vertical="center" shrinkToFit="1"/>
      <protection hidden="1" locked="0"/>
    </xf>
    <xf numFmtId="0" fontId="5" fillId="0" borderId="0" xfId="43" applyAlignment="1" applyProtection="1">
      <alignment horizontal="left" shrinkToFit="1"/>
      <protection hidden="1"/>
    </xf>
    <xf numFmtId="0" fontId="0" fillId="0" borderId="10" xfId="0" applyBorder="1" applyAlignment="1" applyProtection="1">
      <alignment horizontal="center" shrinkToFit="1"/>
      <protection hidden="1"/>
    </xf>
    <xf numFmtId="0" fontId="0" fillId="0" borderId="20" xfId="0" applyBorder="1" applyAlignment="1" applyProtection="1">
      <alignment horizontal="center" shrinkToFit="1"/>
      <protection hidden="1"/>
    </xf>
    <xf numFmtId="0" fontId="0" fillId="0" borderId="22" xfId="0" applyBorder="1" applyAlignment="1" applyProtection="1">
      <alignment horizontal="center" shrinkToFit="1"/>
      <protection hidden="1"/>
    </xf>
    <xf numFmtId="181" fontId="0" fillId="0" borderId="10" xfId="0" applyNumberFormat="1" applyBorder="1" applyAlignment="1" applyProtection="1">
      <alignment horizontal="center" shrinkToFit="1"/>
      <protection hidden="1"/>
    </xf>
    <xf numFmtId="0" fontId="0" fillId="0" borderId="0" xfId="0" applyAlignment="1" applyProtection="1">
      <alignment horizontal="left" shrinkToFit="1"/>
      <protection hidden="1"/>
    </xf>
    <xf numFmtId="0" fontId="0" fillId="0" borderId="0" xfId="0" applyFont="1" applyBorder="1" applyAlignment="1" applyProtection="1">
      <alignment horizontal="left" vertical="center" shrinkToFit="1"/>
      <protection hidden="1"/>
    </xf>
    <xf numFmtId="0" fontId="6" fillId="0" borderId="0" xfId="0" applyFont="1" applyAlignment="1" applyProtection="1">
      <alignment horizontal="center" shrinkToFit="1"/>
      <protection hidden="1" locked="0"/>
    </xf>
    <xf numFmtId="0" fontId="3" fillId="0" borderId="0" xfId="0" applyFont="1" applyAlignment="1" applyProtection="1">
      <alignment horizontal="left" shrinkToFit="1"/>
      <protection hidden="1" locked="0"/>
    </xf>
    <xf numFmtId="0" fontId="2" fillId="0" borderId="0" xfId="0" applyFont="1" applyAlignment="1" applyProtection="1">
      <alignment horizontal="center" vertical="center"/>
      <protection hidden="1"/>
    </xf>
    <xf numFmtId="0" fontId="0" fillId="0" borderId="0" xfId="0" applyAlignment="1" applyProtection="1">
      <alignment horizont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直接基礎_FOOTING_土圧" xfId="61"/>
    <cellStyle name="Followed Hyperlink" xfId="62"/>
    <cellStyle name="良い" xfId="63"/>
  </cellStyles>
  <dxfs count="18">
    <dxf>
      <font>
        <color indexed="9"/>
      </font>
    </dxf>
    <dxf>
      <font>
        <color indexed="9"/>
      </font>
    </dxf>
    <dxf>
      <font>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tx>
            <c:v>外枠1</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'N値計算法'!$W$5:$W$6</c:f>
              <c:numCache/>
            </c:numRef>
          </c:xVal>
          <c:yVal>
            <c:numRef>
              <c:f>'N値計算法'!$X$5:$X$6</c:f>
              <c:numCache/>
            </c:numRef>
          </c:yVal>
          <c:smooth val="0"/>
        </c:ser>
        <c:ser>
          <c:idx val="17"/>
          <c:order val="1"/>
          <c:tx>
            <c:v>外枠2</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'N値計算法'!$W$8:$W$9</c:f>
              <c:numCache/>
            </c:numRef>
          </c:xVal>
          <c:yVal>
            <c:numRef>
              <c:f>'N値計算法'!$X$8:$X$9</c:f>
              <c:numCache/>
            </c:numRef>
          </c:yVal>
          <c:smooth val="0"/>
        </c:ser>
        <c:ser>
          <c:idx val="18"/>
          <c:order val="2"/>
          <c:tx>
            <c:v>外枠3</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'N値計算法'!$W$11:$W$12</c:f>
              <c:numCache/>
            </c:numRef>
          </c:xVal>
          <c:yVal>
            <c:numRef>
              <c:f>'N値計算法'!$X$11:$X$12</c:f>
              <c:numCache/>
            </c:numRef>
          </c:yVal>
          <c:smooth val="0"/>
        </c:ser>
        <c:ser>
          <c:idx val="1"/>
          <c:order val="3"/>
          <c:tx>
            <c:v>土台</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'N値計算法'!$W$14:$W$15</c:f>
              <c:numCache/>
            </c:numRef>
          </c:xVal>
          <c:yVal>
            <c:numRef>
              <c:f>'N値計算法'!$X$14:$X$15</c:f>
              <c:numCache/>
            </c:numRef>
          </c:yVal>
          <c:smooth val="0"/>
        </c:ser>
        <c:ser>
          <c:idx val="2"/>
          <c:order val="4"/>
          <c:tx>
            <c:v>3FL</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'N値計算法'!$W$17:$W$18</c:f>
              <c:numCache/>
            </c:numRef>
          </c:xVal>
          <c:yVal>
            <c:numRef>
              <c:f>'N値計算法'!$X$17:$X$18</c:f>
              <c:numCache/>
            </c:numRef>
          </c:yVal>
          <c:smooth val="0"/>
        </c:ser>
        <c:ser>
          <c:idx val="16"/>
          <c:order val="5"/>
          <c:tx>
            <c:v>2FL</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'N値計算法'!$W$20:$W$21</c:f>
              <c:numCache/>
            </c:numRef>
          </c:xVal>
          <c:yVal>
            <c:numRef>
              <c:f>'N値計算法'!$X$20:$X$21</c:f>
              <c:numCache/>
            </c:numRef>
          </c:yVal>
          <c:smooth val="0"/>
        </c:ser>
        <c:ser>
          <c:idx val="3"/>
          <c:order val="6"/>
          <c:tx>
            <c:v>柱</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'N値計算法'!$W$23:$W$24</c:f>
              <c:numCache/>
            </c:numRef>
          </c:xVal>
          <c:yVal>
            <c:numRef>
              <c:f>'N値計算法'!$X$23:$X$24</c:f>
              <c:numCache/>
            </c:numRef>
          </c:yVal>
          <c:smooth val="0"/>
        </c:ser>
        <c:ser>
          <c:idx val="4"/>
          <c:order val="7"/>
          <c:tx>
            <c:v>3FLR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'N値計算法'!$Z$5:$Z$6</c:f>
              <c:strCache/>
            </c:strRef>
          </c:xVal>
          <c:yVal>
            <c:numRef>
              <c:f>'N値計算法'!$AA$5:$AA$6</c:f>
              <c:numCache/>
            </c:numRef>
          </c:yVal>
          <c:smooth val="0"/>
        </c:ser>
        <c:ser>
          <c:idx val="5"/>
          <c:order val="8"/>
          <c:tx>
            <c:v>3FLL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'N値計算法'!$Z$7:$Z$8</c:f>
              <c:strCache/>
            </c:strRef>
          </c:xVal>
          <c:yVal>
            <c:numRef>
              <c:f>'N値計算法'!$AA$7:$AA$8</c:f>
              <c:numCache/>
            </c:numRef>
          </c:yVal>
          <c:smooth val="0"/>
        </c:ser>
        <c:ser>
          <c:idx val="6"/>
          <c:order val="9"/>
          <c:tx>
            <c:v>3FRR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'N値計算法'!$AC$5:$AC$6</c:f>
              <c:numCache/>
            </c:numRef>
          </c:xVal>
          <c:yVal>
            <c:numRef>
              <c:f>'N値計算法'!$AD$5:$AD$6</c:f>
              <c:numCache/>
            </c:numRef>
          </c:yVal>
          <c:smooth val="0"/>
        </c:ser>
        <c:ser>
          <c:idx val="7"/>
          <c:order val="10"/>
          <c:tx>
            <c:v>3FRL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'N値計算法'!$AC$7:$AC$8</c:f>
              <c:numCache/>
            </c:numRef>
          </c:xVal>
          <c:yVal>
            <c:numRef>
              <c:f>'N値計算法'!$AD$7:$AD$8</c:f>
              <c:numCache/>
            </c:numRef>
          </c:yVal>
          <c:smooth val="0"/>
        </c:ser>
        <c:ser>
          <c:idx val="8"/>
          <c:order val="11"/>
          <c:tx>
            <c:v>2FLR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'N値計算法'!$Z$10:$Z$11</c:f>
              <c:strCache/>
            </c:strRef>
          </c:xVal>
          <c:yVal>
            <c:numRef>
              <c:f>'N値計算法'!$AA$10:$AA$11</c:f>
              <c:numCache/>
            </c:numRef>
          </c:yVal>
          <c:smooth val="0"/>
        </c:ser>
        <c:ser>
          <c:idx val="9"/>
          <c:order val="12"/>
          <c:tx>
            <c:v>2FLL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'N値計算法'!$Z$12:$Z$13</c:f>
              <c:strCache/>
            </c:strRef>
          </c:xVal>
          <c:yVal>
            <c:numRef>
              <c:f>'N値計算法'!$AA$12:$AA$13</c:f>
              <c:numCache/>
            </c:numRef>
          </c:yVal>
          <c:smooth val="0"/>
        </c:ser>
        <c:ser>
          <c:idx val="10"/>
          <c:order val="13"/>
          <c:tx>
            <c:v>2FRR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'N値計算法'!$AC$10:$AC$11</c:f>
              <c:numCache/>
            </c:numRef>
          </c:xVal>
          <c:yVal>
            <c:numRef>
              <c:f>'N値計算法'!$AD$10:$AD$11</c:f>
              <c:numCache/>
            </c:numRef>
          </c:yVal>
          <c:smooth val="0"/>
        </c:ser>
        <c:ser>
          <c:idx val="11"/>
          <c:order val="14"/>
          <c:tx>
            <c:v>2FRL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'N値計算法'!$AC$12:$AC$13</c:f>
              <c:numCache/>
            </c:numRef>
          </c:xVal>
          <c:yVal>
            <c:numRef>
              <c:f>'N値計算法'!$AD$12:$AD$13</c:f>
              <c:numCache/>
            </c:numRef>
          </c:yVal>
          <c:smooth val="0"/>
        </c:ser>
        <c:ser>
          <c:idx val="12"/>
          <c:order val="15"/>
          <c:tx>
            <c:v>1FLR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'N値計算法'!$Z$15:$Z$16</c:f>
              <c:strCache/>
            </c:strRef>
          </c:xVal>
          <c:yVal>
            <c:numRef>
              <c:f>'N値計算法'!$AA$15:$AA$16</c:f>
              <c:numCache/>
            </c:numRef>
          </c:yVal>
          <c:smooth val="0"/>
        </c:ser>
        <c:ser>
          <c:idx val="13"/>
          <c:order val="16"/>
          <c:tx>
            <c:v>1FLL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'N値計算法'!$Z$17:$Z$18</c:f>
              <c:strCache/>
            </c:strRef>
          </c:xVal>
          <c:yVal>
            <c:numRef>
              <c:f>'N値計算法'!$AA$17:$AA$18</c:f>
              <c:numCache/>
            </c:numRef>
          </c:yVal>
          <c:smooth val="0"/>
        </c:ser>
        <c:ser>
          <c:idx val="14"/>
          <c:order val="17"/>
          <c:tx>
            <c:v>1FRR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'N値計算法'!$AC$15:$AC$16</c:f>
              <c:numCache/>
            </c:numRef>
          </c:xVal>
          <c:yVal>
            <c:numRef>
              <c:f>'N値計算法'!$AD$15:$AD$16</c:f>
              <c:numCache/>
            </c:numRef>
          </c:yVal>
          <c:smooth val="0"/>
        </c:ser>
        <c:ser>
          <c:idx val="15"/>
          <c:order val="18"/>
          <c:tx>
            <c:v>1FRL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'N値計算法'!$AC$17:$AC$18</c:f>
              <c:numCache/>
            </c:numRef>
          </c:xVal>
          <c:yVal>
            <c:numRef>
              <c:f>'N値計算法'!$AD$17:$AD$18</c:f>
              <c:numCache/>
            </c:numRef>
          </c:yVal>
          <c:smooth val="0"/>
        </c:ser>
        <c:axId val="10233397"/>
        <c:axId val="24991710"/>
      </c:scatterChart>
      <c:valAx>
        <c:axId val="10233397"/>
        <c:scaling>
          <c:orientation val="minMax"/>
        </c:scaling>
        <c:axPos val="b"/>
        <c:delete val="1"/>
        <c:majorTickMark val="out"/>
        <c:minorTickMark val="none"/>
        <c:tickLblPos val="nextTo"/>
        <c:crossAx val="24991710"/>
        <c:crosses val="autoZero"/>
        <c:crossBetween val="midCat"/>
        <c:dispUnits/>
      </c:valAx>
      <c:valAx>
        <c:axId val="24991710"/>
        <c:scaling>
          <c:orientation val="minMax"/>
        </c:scaling>
        <c:axPos val="l"/>
        <c:delete val="1"/>
        <c:majorTickMark val="out"/>
        <c:minorTickMark val="none"/>
        <c:tickLblPos val="nextTo"/>
        <c:crossAx val="10233397"/>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xdr:row>
      <xdr:rowOff>104775</xdr:rowOff>
    </xdr:from>
    <xdr:to>
      <xdr:col>16</xdr:col>
      <xdr:colOff>0</xdr:colOff>
      <xdr:row>20</xdr:row>
      <xdr:rowOff>95250</xdr:rowOff>
    </xdr:to>
    <xdr:graphicFrame>
      <xdr:nvGraphicFramePr>
        <xdr:cNvPr id="1" name="グラフ 2"/>
        <xdr:cNvGraphicFramePr/>
      </xdr:nvGraphicFramePr>
      <xdr:xfrm>
        <a:off x="6486525" y="295275"/>
        <a:ext cx="2238375" cy="3609975"/>
      </xdr:xfrm>
      <a:graphic>
        <a:graphicData uri="http://schemas.openxmlformats.org/drawingml/2006/chart">
          <c:chart xmlns:c="http://schemas.openxmlformats.org/drawingml/2006/chart" r:id="rId1"/>
        </a:graphicData>
      </a:graphic>
    </xdr:graphicFrame>
    <xdr:clientData/>
  </xdr:twoCellAnchor>
  <xdr:oneCellAnchor>
    <xdr:from>
      <xdr:col>10</xdr:col>
      <xdr:colOff>495300</xdr:colOff>
      <xdr:row>27</xdr:row>
      <xdr:rowOff>28575</xdr:rowOff>
    </xdr:from>
    <xdr:ext cx="1000125" cy="333375"/>
    <xdr:sp macro="[0]!表作成">
      <xdr:nvSpPr>
        <xdr:cNvPr id="2" name="Text Box 159"/>
        <xdr:cNvSpPr txBox="1">
          <a:spLocks noChangeArrowheads="1"/>
        </xdr:cNvSpPr>
      </xdr:nvSpPr>
      <xdr:spPr>
        <a:xfrm>
          <a:off x="4838700" y="5172075"/>
          <a:ext cx="1000125" cy="333375"/>
        </a:xfrm>
        <a:prstGeom prst="rect">
          <a:avLst/>
        </a:prstGeom>
        <a:solidFill>
          <a:srgbClr val="FFFFFF"/>
        </a:solidFill>
        <a:ln w="38100" cmpd="dbl">
          <a:solidFill>
            <a:srgbClr val="3366FF"/>
          </a:solidFill>
          <a:headEnd type="none"/>
          <a:tailEnd type="none"/>
        </a:ln>
      </xdr:spPr>
      <xdr:txBody>
        <a:bodyPr vertOverflow="clip" wrap="square" lIns="108000" tIns="36000" rIns="108000" bIns="36000" anchor="ctr">
          <a:spAutoFit/>
        </a:bodyPr>
        <a:p>
          <a:pPr algn="ctr">
            <a:defRPr/>
          </a:pPr>
          <a:r>
            <a:rPr lang="en-US" cap="none" sz="1400" b="1" i="0" u="none" baseline="0">
              <a:solidFill>
                <a:srgbClr val="0000FF"/>
              </a:solidFill>
              <a:latin typeface="ＭＳ Ｐゴシック"/>
              <a:ea typeface="ＭＳ Ｐゴシック"/>
              <a:cs typeface="ＭＳ Ｐゴシック"/>
            </a:rPr>
            <a:t>表に作成</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ot21@nifty.com" TargetMode="External" /><Relationship Id="rId2" Type="http://schemas.openxmlformats.org/officeDocument/2006/relationships/hyperlink" Target="http://homepage1.nifty.com/MANBOU/index.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G24"/>
  <sheetViews>
    <sheetView zoomScaleSheetLayoutView="50" zoomScalePageLayoutView="0" workbookViewId="0" topLeftCell="A1">
      <selection activeCell="A1" sqref="A1"/>
    </sheetView>
  </sheetViews>
  <sheetFormatPr defaultColWidth="8.875" defaultRowHeight="13.5"/>
  <cols>
    <col min="1" max="1" width="3.75390625" style="3" customWidth="1"/>
    <col min="2" max="16384" width="8.875" style="3" customWidth="1"/>
  </cols>
  <sheetData>
    <row r="1" s="2" customFormat="1" ht="18.75" customHeight="1">
      <c r="A1" s="1" t="s">
        <v>97</v>
      </c>
    </row>
    <row r="2" s="2" customFormat="1" ht="18.75" customHeight="1"/>
    <row r="3" s="2" customFormat="1" ht="18.75" customHeight="1">
      <c r="A3" s="1" t="s">
        <v>86</v>
      </c>
    </row>
    <row r="4" s="2" customFormat="1" ht="18.75" customHeight="1">
      <c r="B4" s="2" t="s">
        <v>90</v>
      </c>
    </row>
    <row r="5" s="2" customFormat="1" ht="18.75" customHeight="1">
      <c r="B5" s="2" t="s">
        <v>88</v>
      </c>
    </row>
    <row r="6" s="2" customFormat="1" ht="18.75" customHeight="1">
      <c r="B6" s="2" t="s">
        <v>89</v>
      </c>
    </row>
    <row r="7" s="2" customFormat="1" ht="18.75" customHeight="1">
      <c r="B7" s="2" t="s">
        <v>93</v>
      </c>
    </row>
    <row r="8" s="2" customFormat="1" ht="18.75" customHeight="1">
      <c r="B8" s="2" t="s">
        <v>117</v>
      </c>
    </row>
    <row r="9" s="2" customFormat="1" ht="18.75" customHeight="1">
      <c r="B9" s="2" t="s">
        <v>91</v>
      </c>
    </row>
    <row r="10" s="2" customFormat="1" ht="18.75" customHeight="1">
      <c r="B10" s="2" t="s">
        <v>92</v>
      </c>
    </row>
    <row r="11" s="2" customFormat="1" ht="18.75" customHeight="1">
      <c r="B11" s="2" t="s">
        <v>106</v>
      </c>
    </row>
    <row r="12" s="2" customFormat="1" ht="18.75" customHeight="1"/>
    <row r="13" s="2" customFormat="1" ht="18.75" customHeight="1">
      <c r="A13" s="1" t="s">
        <v>98</v>
      </c>
    </row>
    <row r="14" s="2" customFormat="1" ht="18.75" customHeight="1">
      <c r="B14" s="2" t="s">
        <v>99</v>
      </c>
    </row>
    <row r="15" s="2" customFormat="1" ht="18.75" customHeight="1">
      <c r="B15" s="2" t="s">
        <v>100</v>
      </c>
    </row>
    <row r="16" s="2" customFormat="1" ht="18.75" customHeight="1">
      <c r="B16" s="2" t="s">
        <v>104</v>
      </c>
    </row>
    <row r="17" s="2" customFormat="1" ht="18.75" customHeight="1">
      <c r="B17" s="2" t="s">
        <v>101</v>
      </c>
    </row>
    <row r="18" s="2" customFormat="1" ht="18.75" customHeight="1">
      <c r="B18" s="2" t="s">
        <v>102</v>
      </c>
    </row>
    <row r="19" s="2" customFormat="1" ht="18.75" customHeight="1">
      <c r="B19" s="2" t="s">
        <v>103</v>
      </c>
    </row>
    <row r="20" s="2" customFormat="1" ht="18.75" customHeight="1">
      <c r="B20" s="2" t="s">
        <v>105</v>
      </c>
    </row>
    <row r="21" s="2" customFormat="1" ht="18.75" customHeight="1"/>
    <row r="22" ht="18.75" customHeight="1">
      <c r="A22" s="3" t="s">
        <v>87</v>
      </c>
    </row>
    <row r="23" spans="2:5" ht="18.75" customHeight="1">
      <c r="B23" s="3" t="s">
        <v>134</v>
      </c>
      <c r="C23" s="89" t="s">
        <v>135</v>
      </c>
      <c r="D23" s="89"/>
      <c r="E23" s="89"/>
    </row>
    <row r="24" spans="2:7" ht="18.75" customHeight="1">
      <c r="B24" s="89" t="s">
        <v>136</v>
      </c>
      <c r="C24" s="89"/>
      <c r="D24" s="89"/>
      <c r="E24" s="89"/>
      <c r="F24" s="89"/>
      <c r="G24" s="89"/>
    </row>
  </sheetData>
  <sheetProtection sheet="1" objects="1" scenarios="1"/>
  <mergeCells count="2">
    <mergeCell ref="B24:G24"/>
    <mergeCell ref="C23:E23"/>
  </mergeCells>
  <hyperlinks>
    <hyperlink ref="C23" r:id="rId1" display="root21@nifty.com"/>
    <hyperlink ref="B24" r:id="rId2" display="http://homepage1.nifty.com/MANBOU/index.html"/>
  </hyperlinks>
  <printOptions horizontalCentered="1"/>
  <pageMargins left="0.984251968503937" right="0.984251968503937" top="1.1811023622047245" bottom="0.7874015748031497" header="0.984251968503937" footer="0.5905511811023623"/>
  <pageSetup fitToHeight="1" fitToWidth="1" horizontalDpi="300" verticalDpi="300" orientation="landscape" paperSize="9" r:id="rId3"/>
  <headerFooter alignWithMargins="0">
    <oddHeader>&amp;C&amp;9&amp;A&amp;R&amp;9&amp;F</oddHead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AI39"/>
  <sheetViews>
    <sheetView tabSelected="1" view="pageBreakPreview" zoomScaleSheetLayoutView="100" zoomScalePageLayoutView="0" workbookViewId="0" topLeftCell="A1">
      <selection activeCell="E3" sqref="E3:G3"/>
    </sheetView>
  </sheetViews>
  <sheetFormatPr defaultColWidth="8.875" defaultRowHeight="13.5"/>
  <cols>
    <col min="1" max="1" width="5.375" style="6" customWidth="1"/>
    <col min="2" max="2" width="8.75390625" style="6" customWidth="1"/>
    <col min="3" max="3" width="5.375" style="6" customWidth="1"/>
    <col min="4" max="7" width="5.75390625" style="6" customWidth="1"/>
    <col min="8" max="8" width="5.375" style="6" customWidth="1"/>
    <col min="9" max="9" width="6.375" style="6" customWidth="1"/>
    <col min="10" max="10" width="2.75390625" style="6" customWidth="1"/>
    <col min="11" max="12" width="12.75390625" style="6" customWidth="1"/>
    <col min="13" max="13" width="1.75390625" style="6" customWidth="1"/>
    <col min="14" max="14" width="7.75390625" style="6" customWidth="1"/>
    <col min="15" max="15" width="14.75390625" style="6" customWidth="1"/>
    <col min="16" max="16" width="7.75390625" style="6" customWidth="1"/>
    <col min="17" max="17" width="2.75390625" style="6" customWidth="1"/>
    <col min="18" max="18" width="6.75390625" style="6" customWidth="1"/>
    <col min="19" max="19" width="16.75390625" style="6" customWidth="1"/>
    <col min="20" max="21" width="8.75390625" style="6" customWidth="1"/>
    <col min="22" max="22" width="12.75390625" style="6" customWidth="1"/>
    <col min="23" max="24" width="7.75390625" style="46" customWidth="1"/>
    <col min="25" max="25" width="1.75390625" style="46" customWidth="1"/>
    <col min="26" max="27" width="7.75390625" style="48" customWidth="1"/>
    <col min="28" max="28" width="1.75390625" style="48" customWidth="1"/>
    <col min="29" max="30" width="7.75390625" style="48" customWidth="1"/>
    <col min="31" max="31" width="14.75390625" style="48" customWidth="1"/>
    <col min="32" max="32" width="8.75390625" style="48" customWidth="1"/>
    <col min="33" max="33" width="7.75390625" style="48" customWidth="1"/>
    <col min="34" max="34" width="25.75390625" style="48" customWidth="1"/>
    <col min="35" max="35" width="8.875" style="46" customWidth="1"/>
    <col min="36" max="16384" width="8.875" style="6" customWidth="1"/>
  </cols>
  <sheetData>
    <row r="1" spans="1:26" ht="15" customHeight="1">
      <c r="A1" s="5" t="s">
        <v>1</v>
      </c>
      <c r="G1" s="68"/>
      <c r="H1" s="68"/>
      <c r="I1" s="68"/>
      <c r="J1" s="68"/>
      <c r="K1" s="68"/>
      <c r="L1" s="68"/>
      <c r="M1" s="68"/>
      <c r="N1" s="68"/>
      <c r="O1" s="68"/>
      <c r="P1" s="68"/>
      <c r="R1" s="7" t="s">
        <v>33</v>
      </c>
      <c r="W1" s="44"/>
      <c r="X1" s="45" t="s">
        <v>53</v>
      </c>
      <c r="Z1" s="47" t="s">
        <v>2</v>
      </c>
    </row>
    <row r="2" spans="7:35" ht="15" customHeight="1">
      <c r="G2" s="68"/>
      <c r="H2" s="68"/>
      <c r="I2" s="68"/>
      <c r="J2" s="68"/>
      <c r="K2" s="68"/>
      <c r="L2" s="68"/>
      <c r="M2" s="68"/>
      <c r="N2" s="68"/>
      <c r="O2" s="68"/>
      <c r="P2" s="68"/>
      <c r="R2" s="8" t="s">
        <v>35</v>
      </c>
      <c r="S2" s="9" t="s">
        <v>34</v>
      </c>
      <c r="T2" s="8" t="s">
        <v>36</v>
      </c>
      <c r="U2" s="8" t="s">
        <v>37</v>
      </c>
      <c r="W2" s="44"/>
      <c r="X2" s="45" t="s">
        <v>3</v>
      </c>
      <c r="Z2" s="47" t="s">
        <v>4</v>
      </c>
      <c r="AF2" s="49">
        <v>0</v>
      </c>
      <c r="AG2" s="50" t="s">
        <v>119</v>
      </c>
      <c r="AH2" s="50" t="s">
        <v>120</v>
      </c>
      <c r="AI2" s="50" t="s">
        <v>121</v>
      </c>
    </row>
    <row r="3" spans="1:35" ht="15" customHeight="1">
      <c r="A3" s="94" t="s">
        <v>5</v>
      </c>
      <c r="B3" s="94"/>
      <c r="C3" s="65" t="s">
        <v>138</v>
      </c>
      <c r="E3" s="97"/>
      <c r="F3" s="97"/>
      <c r="G3" s="97"/>
      <c r="K3" s="10"/>
      <c r="L3" s="10"/>
      <c r="R3" s="8">
        <v>0</v>
      </c>
      <c r="S3" s="9" t="s">
        <v>18</v>
      </c>
      <c r="T3" s="8">
        <v>0</v>
      </c>
      <c r="U3" s="8">
        <v>0</v>
      </c>
      <c r="W3" s="44"/>
      <c r="X3" s="45" t="s">
        <v>54</v>
      </c>
      <c r="AF3" s="49">
        <v>1.08</v>
      </c>
      <c r="AG3" s="50" t="s">
        <v>0</v>
      </c>
      <c r="AH3" s="50" t="s">
        <v>57</v>
      </c>
      <c r="AI3" s="50" t="s">
        <v>122</v>
      </c>
    </row>
    <row r="4" spans="1:35" ht="15" customHeight="1">
      <c r="A4" s="7"/>
      <c r="F4" s="11" t="s">
        <v>19</v>
      </c>
      <c r="G4" s="11" t="s">
        <v>0</v>
      </c>
      <c r="H4" s="11"/>
      <c r="I4" s="12" t="str">
        <f>IF(C3="3F","RFL","")</f>
        <v>RFL</v>
      </c>
      <c r="R4" s="8">
        <v>0</v>
      </c>
      <c r="S4" s="9" t="s">
        <v>55</v>
      </c>
      <c r="T4" s="8">
        <v>0</v>
      </c>
      <c r="U4" s="8">
        <v>0</v>
      </c>
      <c r="AF4" s="49">
        <v>3.38</v>
      </c>
      <c r="AG4" s="50" t="s">
        <v>20</v>
      </c>
      <c r="AH4" s="50" t="s">
        <v>58</v>
      </c>
      <c r="AI4" s="50" t="s">
        <v>122</v>
      </c>
    </row>
    <row r="5" spans="1:35" ht="15" customHeight="1">
      <c r="A5" s="94" t="s">
        <v>6</v>
      </c>
      <c r="B5" s="94"/>
      <c r="C5" s="13" t="s">
        <v>10</v>
      </c>
      <c r="D5" s="96" t="s">
        <v>118</v>
      </c>
      <c r="E5" s="96"/>
      <c r="F5" s="14">
        <f>IF(D5="その他の柱",0.5,0.8)</f>
        <v>0.5</v>
      </c>
      <c r="G5" s="14">
        <f>IF(D5="その他の柱",0.6,0.4)</f>
        <v>0.6</v>
      </c>
      <c r="H5" s="14"/>
      <c r="I5" s="15"/>
      <c r="K5" s="16"/>
      <c r="L5" s="17"/>
      <c r="R5" s="8">
        <v>1</v>
      </c>
      <c r="S5" s="9" t="s">
        <v>76</v>
      </c>
      <c r="T5" s="8">
        <v>1</v>
      </c>
      <c r="U5" s="8">
        <v>1</v>
      </c>
      <c r="W5" s="51">
        <f>IF($K$22="",100+L22,100)</f>
        <v>1010</v>
      </c>
      <c r="X5" s="52">
        <v>700</v>
      </c>
      <c r="Z5" s="51" t="str">
        <f>IF($C$3&lt;&gt;"3F",$W$23,IF(RIGHT(K7,3)="右上り",$W$5,IF(RIGHT(K7,3)="たすき",$W$5,IF(RIGHT(K7,3)="左上り",IF(LEFT(K7,2)="合板",IF(K8&lt;&gt;0,$W$5+$K$22/2,"?"),"?"),IF(K8&lt;&gt;0,$W$5+$K$22/3,"?")))))</f>
        <v>?</v>
      </c>
      <c r="AA5" s="53">
        <f>IF($K$22="",$X$5,IF($C$3&lt;&gt;"3F",$X$23,IF(RIGHT(K7,3)="右上り",$X$5+5400,IF(RIGHT(K7,3)="たすき",$X$5+5400,IF(RIGHT(K7,3)="左上り",IF(LEFT(K7,2)="合板",IF(K8&lt;&gt;0,$X$5+5400,"?"),"?"),IF(K8&lt;&gt;0,$X$5+5400,"?"))))))</f>
        <v>700</v>
      </c>
      <c r="AC5" s="51">
        <f>IF($L$22="",$W$5+$K$22*2,IF($C$3&lt;&gt;"3F",$W$23,IF(RIGHT(L7,3)="右上り",$W$5+$K$22,IF(RIGHT(L7,3)="たすき",$W$5+$K$22,IF(RIGHT(L7,3)="左上り",IF(LEFT(L7,2)="合板",IF(L8&lt;&gt;0,$W$5+$K$22+$L$22/2,"?"),"?"),IF(L8&lt;&gt;0,$W$5+$K$22+$L$22/3,"?"))))))</f>
        <v>1313.3333333333333</v>
      </c>
      <c r="AD5" s="53">
        <f>IF($L$22="",$X$5+8100,IF($C$3&lt;&gt;"3F",$X$23,IF(RIGHT(L7,3)="右上り",$X$5+5400,IF(RIGHT(L7,3)="たすき",$X$5+5400,IF(RIGHT(L7,3)="左上り",IF(LEFT(L7,2)="合板",IF(L8&lt;&gt;0,$X$5+5400,"?"),"?"),IF(L8&lt;&gt;0,$X$5+5400,"?"))))))</f>
        <v>6100</v>
      </c>
      <c r="AF5" s="49">
        <v>3.81</v>
      </c>
      <c r="AG5" s="50">
        <v>1</v>
      </c>
      <c r="AH5" s="50" t="s">
        <v>59</v>
      </c>
      <c r="AI5" s="50" t="s">
        <v>123</v>
      </c>
    </row>
    <row r="6" spans="3:35" ht="15" customHeight="1">
      <c r="C6" s="13" t="s">
        <v>11</v>
      </c>
      <c r="D6" s="96" t="s">
        <v>2</v>
      </c>
      <c r="E6" s="96"/>
      <c r="F6" s="14">
        <f>IF(D6="その他の柱",0.5,0.8)</f>
        <v>0.8</v>
      </c>
      <c r="G6" s="14">
        <f>IF(C3="3F",IF(D6="その他の柱",1.6,1),IF(D6="その他の柱",0.6,0.4))</f>
        <v>1</v>
      </c>
      <c r="H6" s="14"/>
      <c r="I6" s="18"/>
      <c r="K6" s="19"/>
      <c r="L6" s="20"/>
      <c r="R6" s="8">
        <v>1</v>
      </c>
      <c r="S6" s="9" t="s">
        <v>77</v>
      </c>
      <c r="T6" s="8">
        <v>1</v>
      </c>
      <c r="U6" s="8">
        <v>1</v>
      </c>
      <c r="W6" s="51">
        <f>W5</f>
        <v>1010</v>
      </c>
      <c r="X6" s="52">
        <f>X5+IF($C$3="1F",2700,IF($C$3="2F",IF(K12="セットバック",2700,5400),IF($C$3="3F",IF(K7="セットバック",IF(K12="セットバック",2700,5400),8100),"?")))</f>
        <v>8800</v>
      </c>
      <c r="Z6" s="51" t="str">
        <f>IF($C$3&lt;&gt;"3F",Z5,IF(RIGHT(K7,3)="右上り",$W$5+$K$22,IF(RIGHT(K7,3)="たすき",$W$5+$K$22,IF(RIGHT(K7,3)="左上り",IF(LEFT(K7,2)="合板",IF(K8&lt;&gt;0,Z5,"?"),"?"),IF(K8&lt;&gt;0,Z5,"?")))))</f>
        <v>?</v>
      </c>
      <c r="AA6" s="53">
        <f>IF($K$22="",$X$5,IF($C$3&lt;&gt;"3F",AA5,IF(RIGHT(K7,3)="右上り",$X$5+8100,IF(RIGHT(K7,3)="たすき",$X$5+8100,IF(RIGHT(K7,3)="左上り",IF(LEFT(K7,2)="合板",IF(K8&lt;&gt;0,$X$5+8100,"?"),"?"),IF(K8&lt;&gt;0,$X$5+8100,"?"))))))</f>
        <v>700</v>
      </c>
      <c r="AC6" s="51">
        <f>IF($L$22="",$W$5+$K$22*2,IF($C$3&lt;&gt;"3F",AC5,IF(RIGHT(L7,3)="右上り",$W$5+$K$22+$L$22,IF(RIGHT(L7,3)="たすき",$W$5+$K$22+$L$22,IF(RIGHT(L7,3)="左上り",IF(LEFT(L7,2)="合板",IF(L8&lt;&gt;0,AC5,"?"),"?"),IF(L8&lt;&gt;0,AC5,"?"))))))</f>
        <v>1313.3333333333333</v>
      </c>
      <c r="AD6" s="53">
        <f>IF($L$22="",$X$5+8100,IF($C$3&lt;&gt;"3F",AD5,IF(RIGHT(L7,3)="右上り",$X$5+8100,IF(RIGHT(L7,3)="たすき",$X$5+8100,IF(RIGHT(L7,3)="左上り",IF(LEFT(L7,2)="合板",IF(L8&lt;&gt;0,$X$5+8100,"?"),"?"),IF(L8&lt;&gt;0,$X$5+8100,"?"))))))</f>
        <v>8800</v>
      </c>
      <c r="AF6" s="49">
        <v>5</v>
      </c>
      <c r="AG6" s="50" t="s">
        <v>21</v>
      </c>
      <c r="AH6" s="50" t="s">
        <v>60</v>
      </c>
      <c r="AI6" s="50" t="s">
        <v>123</v>
      </c>
    </row>
    <row r="7" spans="3:35" ht="15" customHeight="1">
      <c r="C7" s="13" t="s">
        <v>12</v>
      </c>
      <c r="D7" s="96" t="s">
        <v>2</v>
      </c>
      <c r="E7" s="96"/>
      <c r="F7" s="14">
        <f>IF(D7="その他の柱",0.5,0.8)</f>
        <v>0.8</v>
      </c>
      <c r="G7" s="14">
        <f>IF(C3="3F",IF(D7="その他の柱",2.6,1.6),IF(C3="2F",IF(D7="その他の柱",1.6,1),IF(D7="その他の柱",0.6,0.4)))</f>
        <v>1.6</v>
      </c>
      <c r="H7" s="14"/>
      <c r="I7" s="88"/>
      <c r="K7" s="66" t="s">
        <v>110</v>
      </c>
      <c r="L7" s="67" t="s">
        <v>137</v>
      </c>
      <c r="R7" s="8">
        <v>2</v>
      </c>
      <c r="S7" s="9" t="s">
        <v>78</v>
      </c>
      <c r="T7" s="8">
        <v>2</v>
      </c>
      <c r="U7" s="8">
        <v>2</v>
      </c>
      <c r="Z7" s="51" t="str">
        <f>IF($C$3&lt;&gt;"3F",$W$23,IF(RIGHT(K7,3)="左上り",$W$5,IF(RIGHT(K7,3)="たすき",$W$5,IF(RIGHT(K7,3)="右上り",IF(LEFT(K7,2)="合板",IF(K8&lt;&gt;0,$W$5+$K$22*1/2,"?"),"?"),IF(K8&lt;&gt;0,$W$5+$K$22*2/3,"?")))))</f>
        <v>?</v>
      </c>
      <c r="AA7" s="53">
        <f>IF($K$22="",$X$5,IF(C3&lt;&gt;"3F",$X$23,IF(RIGHT(K7,3)="左上り",$X$5+8100,IF(RIGHT(K7,3)="たすき",$X$5+8100,IF(RIGHT(K7,3)="右上り",IF(LEFT(K7,2)="合板",IF(K8&lt;&gt;0,$X$5+8100,"?"),"?"),IF(K8&lt;&gt;0,$X$5+8100,"?"))))))</f>
        <v>700</v>
      </c>
      <c r="AC7" s="51">
        <f>IF($L$22="",$W$5+$K$22*2,IF($C$3&lt;&gt;"3F",$W$23,IF(RIGHT(L7,3)="左上り",$W$5+$K$22,IF(RIGHT(L7,3)="たすき",$W$5+$K$22,IF(RIGHT(L7,3)="右上り",IF(LEFT(L7,2)="合板",IF(L8&lt;&gt;0,$W$5+$K$22+$L$22*1/2,"?"),"?"),IF(L8&lt;&gt;0,$W$5+$K$22+$L$22*2/3,"?"))))))</f>
        <v>1616.6666666666665</v>
      </c>
      <c r="AD7" s="53">
        <f>IF($L$22="",$X$5+8100,IF($C$3&lt;&gt;"3F",$X$23,IF(RIGHT(L7,3)="左上り",$X$5+8100,IF(RIGHT(L7,3)="たすき",$X$5+8100,IF(RIGHT(L7,3)="右上り",IF(LEFT(L7,2)="合板",IF(L8&lt;&gt;0,$X$5+8100,"?"),"?"),IF(L8&lt;&gt;0,$X$5+8100,"?"))))))</f>
        <v>8800</v>
      </c>
      <c r="AF7" s="49">
        <v>5.07</v>
      </c>
      <c r="AG7" s="50" t="s">
        <v>22</v>
      </c>
      <c r="AH7" s="50" t="s">
        <v>61</v>
      </c>
      <c r="AI7" s="50" t="s">
        <v>123</v>
      </c>
    </row>
    <row r="8" spans="9:35" ht="15" customHeight="1">
      <c r="I8" s="18"/>
      <c r="K8" s="21">
        <f>IF($C$3&lt;&gt;"3F",0,IF($K$22="",0,IF($K$22=0,0,IF(VLOOKUP(L7,S3:U33,3,FALSE)-VLOOKUP(K7,S3:U33,3,FALSE)&gt;VLOOKUP(K7,S3:U33,2,FALSE)-VLOOKUP(L7,S3:U33,2,FALSE),VLOOKUP(K7,S3:U33,3,FALSE),VLOOKUP(K7,S3:U33,2,FALSE)))))</f>
        <v>0</v>
      </c>
      <c r="L8" s="22">
        <f>IF($C$3&lt;&gt;"3F",0,IF($L$22="",0,IF($L$22=0,0,IF($K$22="",VLOOKUP(L7,S3:U33,3,FALSE),IF($K$22=0,VLOOKUP(L7,S3:U33,3,FALSE),IF(MAX(VLOOKUP(L7,S3:U33,3,FALSE)-VLOOKUP(K7,S3:U33,3,FALSE),VLOOKUP(K7,S3:U33,2,FALSE)-VLOOKUP(L7,S3:U33,2,FALSE))&lt;0,K8,IF(VLOOKUP(L7,S3:U33,3,FALSE)-VLOOKUP(K7,S3:U33,3,FALSE)&gt;VLOOKUP(K7,S3:U33,2,FALSE)-VLOOKUP(L7,S3:U33,2,FALSE),VLOOKUP(L7,S3:U33,3,FALSE),VLOOKUP(L7,S3:U33,2,FALSE))))))))</f>
        <v>1.5</v>
      </c>
      <c r="R8" s="8">
        <v>1.5</v>
      </c>
      <c r="S8" s="9" t="s">
        <v>79</v>
      </c>
      <c r="T8" s="8">
        <v>2</v>
      </c>
      <c r="U8" s="8">
        <v>1</v>
      </c>
      <c r="W8" s="51">
        <f>IF($K$22="",100+L22,IF(K7="セットバック",100+K22,100))</f>
        <v>1010</v>
      </c>
      <c r="X8" s="52">
        <v>8800</v>
      </c>
      <c r="Z8" s="51" t="str">
        <f>IF($C$3&lt;&gt;"3F",Z7,IF(RIGHT(K7,3)="左上り",$W$5+$K$22,IF(RIGHT(K7,3)="たすき",$W$5+$K$22,IF(RIGHT(K7,3)="右上り",IF(LEFT(K7,2)="合板",IF(K8&lt;&gt;0,Z7,"?"),"?"),IF(K8&lt;&gt;0,Z7,"?")))))</f>
        <v>?</v>
      </c>
      <c r="AA8" s="53">
        <f>IF($K$22="",$X$5,IF($C$3&lt;&gt;"3F",AA7,IF(RIGHT(K7,3)="左上り",$X$5+5400,IF(RIGHT(K7,3)="たすき",$X$5+5400,IF(RIGHT(K7,3)="右上り",IF(LEFT(K7,2)="合板",IF(K8&lt;&gt;0,$X$5+5400,"?"),"?"),IF(K8&lt;&gt;0,$X$5+5400,"?"))))))</f>
        <v>700</v>
      </c>
      <c r="AC8" s="51">
        <f>IF($L$22="",$W$5+$K$22*2,IF($C$3&lt;&gt;"3F",AC7,IF(RIGHT(L7,3)="左上り",$W$5+$K$22+$L$22,IF(RIGHT(L7,3)="たすき",$W$5+$K$22+$L$22,IF(RIGHT(L7,3)="右上り",IF(LEFT(L7,2)="合板",IF(L8&lt;&gt;0,AC7,"?"),"?"),IF(L8&lt;&gt;0,AC7,"?"))))))</f>
        <v>1616.6666666666665</v>
      </c>
      <c r="AD8" s="53">
        <f>IF($L$22="",$X$5+8100,IF($C$3&lt;&gt;"3F",AD7,IF(RIGHT(L7,3)="左上り",$X$5+5400,IF(RIGHT(L7,3)="たすき",$X$5+5400,IF(RIGHT(L7,3)="右上り",IF(LEFT(L7,2)="合板",IF(L8&lt;&gt;0,$X$5+5400,"?"),"?"),IF(L8&lt;&gt;0,$X$5+5400,"?"))))))</f>
        <v>6100</v>
      </c>
      <c r="AF8" s="49">
        <v>5.88</v>
      </c>
      <c r="AG8" s="50" t="s">
        <v>23</v>
      </c>
      <c r="AH8" s="54" t="s">
        <v>112</v>
      </c>
      <c r="AI8" s="50" t="s">
        <v>124</v>
      </c>
    </row>
    <row r="9" spans="1:35" ht="15" customHeight="1">
      <c r="A9" s="6" t="s">
        <v>31</v>
      </c>
      <c r="I9" s="23" t="str">
        <f>IF(C3="2F","RFL",IF(C3="1F","","3FL"))</f>
        <v>3FL</v>
      </c>
      <c r="K9" s="24"/>
      <c r="L9" s="25"/>
      <c r="N9" s="26"/>
      <c r="R9" s="8">
        <v>1.5</v>
      </c>
      <c r="S9" s="9" t="s">
        <v>80</v>
      </c>
      <c r="T9" s="8">
        <v>1</v>
      </c>
      <c r="U9" s="8">
        <v>2</v>
      </c>
      <c r="W9" s="51">
        <f>IF(C3&lt;&gt;"3F",W8,IF($L$22="",100+K22,IF(L7="セットバック",100+K22,W5+K22+L22)))</f>
        <v>1920</v>
      </c>
      <c r="X9" s="52">
        <f>X8</f>
        <v>8800</v>
      </c>
      <c r="AF9" s="49">
        <v>7.5</v>
      </c>
      <c r="AG9" s="50" t="s">
        <v>24</v>
      </c>
      <c r="AH9" s="54" t="s">
        <v>113</v>
      </c>
      <c r="AI9" s="50" t="s">
        <v>125</v>
      </c>
    </row>
    <row r="10" spans="1:35" ht="15" customHeight="1">
      <c r="A10" s="27"/>
      <c r="B10" s="28"/>
      <c r="C10" s="29"/>
      <c r="D10" s="91" t="s">
        <v>2</v>
      </c>
      <c r="E10" s="92"/>
      <c r="F10" s="90" t="s">
        <v>4</v>
      </c>
      <c r="G10" s="90"/>
      <c r="I10" s="18"/>
      <c r="K10" s="16"/>
      <c r="L10" s="17"/>
      <c r="N10" s="26"/>
      <c r="R10" s="8">
        <v>3</v>
      </c>
      <c r="S10" s="9" t="s">
        <v>81</v>
      </c>
      <c r="T10" s="8">
        <v>3</v>
      </c>
      <c r="U10" s="8">
        <v>3</v>
      </c>
      <c r="Z10" s="51" t="str">
        <f>IF($C$3="1F",$W$23,IF(RIGHT(K12,3)="右上り",$W$5,IF(RIGHT(K12,3)="たすき",$W$5,IF(RIGHT(K12,3)="左上り",IF(LEFT(K12,2)="合板",IF(K13&lt;&gt;0,$W$5+$K$22/2,"?"),"?"),IF(K13&lt;&gt;0,$W$5+$K$22/3,"?")))))</f>
        <v>?</v>
      </c>
      <c r="AA10" s="53">
        <f>IF($K$22="",$X$5,IF($C$3="1F",$X$23,IF(RIGHT(K12,3)="右上り",$X$5+2700,IF(RIGHT(K12,3)="たすき",$X$5+2700,IF(RIGHT(K12,3)="左上り",IF(LEFT(K12,2)="合板",IF(K13&lt;&gt;0,$X$5+2700,"?"),"?"),IF(K13&lt;&gt;0,$X$5+2700,"?"))))))</f>
        <v>700</v>
      </c>
      <c r="AC10" s="51">
        <f>IF($L$22="",$W$5+$K$22*2,IF($C$3="1F",$W$23,IF(RIGHT(L12,3)="右上り",$W$5+$K$22,IF(RIGHT(L12,3)="たすき",$W$5+$K$22,IF(RIGHT(L12,3)="左上り",IF(LEFT(L12,2)="合板",IF(L13&lt;&gt;0,$W$5+$K$22+$L$22/2,"?"),"?"),IF(L13&lt;&gt;0,$W$5+$K$22+$L$22/3,"?"))))))</f>
        <v>1313.3333333333333</v>
      </c>
      <c r="AD10" s="53">
        <f>IF($L$22="",$X$5+8100,IF($C$3="1F",$X$23,IF(RIGHT(L12,3)="右上り",$X$5+2700,IF(RIGHT(L12,3)="たすき",$X$5+2700,IF(RIGHT(L12,3)="左上り",IF(LEFT(L12,2)="合板",IF(L13&lt;&gt;0,$X$5+2700,"?"),"?"),IF(L13&lt;&gt;0,$X$5+2700,"?"))))))</f>
        <v>3400</v>
      </c>
      <c r="AF10" s="49">
        <v>8.5</v>
      </c>
      <c r="AG10" s="50">
        <v>2</v>
      </c>
      <c r="AH10" s="50" t="s">
        <v>62</v>
      </c>
      <c r="AI10" s="50" t="s">
        <v>126</v>
      </c>
    </row>
    <row r="11" spans="1:35" ht="15" customHeight="1">
      <c r="A11" s="90" t="s">
        <v>107</v>
      </c>
      <c r="B11" s="90"/>
      <c r="C11" s="90"/>
      <c r="D11" s="93">
        <v>0.8</v>
      </c>
      <c r="E11" s="93"/>
      <c r="F11" s="93">
        <v>0.5</v>
      </c>
      <c r="G11" s="93"/>
      <c r="I11" s="18"/>
      <c r="K11" s="19"/>
      <c r="L11" s="20"/>
      <c r="N11" s="26"/>
      <c r="R11" s="8">
        <v>2</v>
      </c>
      <c r="S11" s="9" t="s">
        <v>82</v>
      </c>
      <c r="T11" s="8">
        <v>2.5</v>
      </c>
      <c r="U11" s="8">
        <v>1.5</v>
      </c>
      <c r="W11" s="51">
        <f>W5+K22+L22</f>
        <v>1920</v>
      </c>
      <c r="X11" s="52">
        <f>X5+IF($C$3="1F",2700,IF($C$3="2F",IF(L12="セットバック",2700,5400),IF($C$3="3F",IF(L7="セットバック",IF(L12="セットバック",2700,5400),8100),"?")))</f>
        <v>8800</v>
      </c>
      <c r="Z11" s="51" t="str">
        <f>IF($C$3="1F",Z10,IF(RIGHT(K12,3)="右上り",$W$5+$K$22,IF(RIGHT(K12,3)="たすき",$W$5+$K$22,IF(RIGHT(K12,3)="左上り",IF(LEFT(K12,2)="合板",IF(K13&lt;&gt;0,Z10,"?"),"?"),IF(K13&lt;&gt;0,Z10,"?")))))</f>
        <v>?</v>
      </c>
      <c r="AA11" s="53">
        <f>IF($K$22="",$X$5,IF($C$3="1F",AA10,IF(RIGHT(K12,3)="右上り",$X$5+5400,IF(RIGHT(K12,3)="たすき",$X$5+5400,IF(RIGHT(K12,3)="左上り",IF(LEFT(K12,2)="合板",IF(K13&lt;&gt;0,$X$5+5400,"?"),"?"),IF(K13&lt;&gt;0,$X$5+5400,"?"))))))</f>
        <v>700</v>
      </c>
      <c r="AC11" s="51">
        <f>IF($L$22="",$W$5+$K$22*2,IF($C$3="1F",AC10,IF(RIGHT(L12,3)="右上り",$W$5+$K$22+$L$22,IF(RIGHT(L12,3)="たすき",$W$5+$K$22+$L$22,IF(RIGHT(L12,3)="左上り",IF(LEFT(L12,2)="合板",IF(L13&lt;&gt;0,AC10,"?"),"?"),IF(L13&lt;&gt;0,AC10,"?"))))))</f>
        <v>1313.3333333333333</v>
      </c>
      <c r="AD11" s="53">
        <f>IF($L$22="",$X$5+8100,IF($C$3="1F",AD10,IF(RIGHT(L12,3)="右上り",$X$5+5400,IF(RIGHT(L12,3)="たすき",$X$5+5400,IF(RIGHT(L12,3)="左上り",IF(LEFT(L12,2)="合板",IF(L13&lt;&gt;0,$X$5+5400,"?"),"?"),IF(L13&lt;&gt;0,$X$5+5400,"?"))))))</f>
        <v>6100</v>
      </c>
      <c r="AF11" s="49">
        <v>10</v>
      </c>
      <c r="AG11" s="50">
        <v>3</v>
      </c>
      <c r="AH11" s="50" t="s">
        <v>63</v>
      </c>
      <c r="AI11" s="50" t="s">
        <v>127</v>
      </c>
    </row>
    <row r="12" spans="9:35" ht="15" customHeight="1">
      <c r="I12" s="88"/>
      <c r="K12" s="66" t="s">
        <v>110</v>
      </c>
      <c r="L12" s="67" t="s">
        <v>137</v>
      </c>
      <c r="N12" s="26"/>
      <c r="R12" s="8">
        <v>2</v>
      </c>
      <c r="S12" s="9" t="s">
        <v>83</v>
      </c>
      <c r="T12" s="8">
        <v>1.5</v>
      </c>
      <c r="U12" s="8">
        <v>2.5</v>
      </c>
      <c r="W12" s="51">
        <f>W11</f>
        <v>1920</v>
      </c>
      <c r="X12" s="52">
        <f>X5</f>
        <v>700</v>
      </c>
      <c r="Z12" s="51" t="str">
        <f>IF($C$3="1F",$W$23,IF(RIGHT(K12,3)="左上り",$W$5,IF(RIGHT(K12,3)="たすき",$W$5,IF(RIGHT(K12,3)="右上り",IF(LEFT(K12,2)="合板",IF(K13&lt;&gt;0,$W$5+$K$22*1/2,"?"),"?"),IF(K13&lt;&gt;0,$W$5+$K$22*2/3,"?")))))</f>
        <v>?</v>
      </c>
      <c r="AA12" s="53">
        <f>IF($K$22="",$X$5,IF($C$3="1F",$X$23,IF(RIGHT(K12,3)="左上り",$X$5+5400,IF(RIGHT(K12,3)="たすき",$X$5+5400,IF(RIGHT(K12,3)="右上り",IF(LEFT(K12,2)="合板",IF(K13&lt;&gt;0,$X$5+5400,"?"),"?"),IF(K13&lt;&gt;0,$X$5+5400,"?"))))))</f>
        <v>700</v>
      </c>
      <c r="AC12" s="51">
        <f>IF($L$22="",$W$5+$K$22*2,IF($C$3="1F",$W$23,IF(RIGHT(L12,3)="左上り",$W$5+$K$22,IF(RIGHT(L12,3)="たすき",$W$5+$K$22,IF(RIGHT(L12,3)="右上り",IF(LEFT(L12,2)="合板",IF(L13&lt;&gt;0,$W$5+$K$22+$L$22*1/2,"?"),"?"),IF(L13&lt;&gt;0,$W$5+$K$22+$L$22*2/3,"?"))))))</f>
        <v>1616.6666666666665</v>
      </c>
      <c r="AD12" s="53">
        <f>IF($L$22="",$X$5+8100,IF($C$3="1F",$X$23,IF(RIGHT(L12,3)="左上り",$X$5+5400,IF(RIGHT(L12,3)="たすき",$X$5+5400,IF(RIGHT(L12,3)="右上り",IF(LEFT(L12,2)="合板",IF(L13&lt;&gt;0,$X$5+5400,"?"),"?"),IF(L13&lt;&gt;0,$X$5+5400,"?"))))))</f>
        <v>6100</v>
      </c>
      <c r="AF12" s="49">
        <v>15</v>
      </c>
      <c r="AG12" s="50">
        <v>4</v>
      </c>
      <c r="AH12" s="50" t="s">
        <v>64</v>
      </c>
      <c r="AI12" s="50" t="s">
        <v>128</v>
      </c>
    </row>
    <row r="13" spans="1:35" ht="15" customHeight="1">
      <c r="A13" s="6" t="s">
        <v>30</v>
      </c>
      <c r="H13" s="10"/>
      <c r="I13" s="18"/>
      <c r="K13" s="21">
        <f>IF($C$3="1F",0,IF($K$22="",0,IF($K$22=0,0,IF(VLOOKUP(L12,S3:U33,3,FALSE)-VLOOKUP(K12,S3:U33,3,FALSE)&gt;VLOOKUP(K12,S3:U33,2,FALSE)-VLOOKUP(L12,S3:U33,2,FALSE),VLOOKUP(K12,S3:U33,3,FALSE),VLOOKUP(K12,S3:U33,2,FALSE)))))</f>
        <v>0</v>
      </c>
      <c r="L13" s="22">
        <f>IF($C$3="1F",0,IF($L$22="",0,IF($L$22=0,0,IF($K$22="",VLOOKUP(L12,S3:U33,3,FALSE),IF($K$22=0,VLOOKUP(L12,S3:U33,3,FALSE),IF(MAX(VLOOKUP(L12,S3:U33,3,FALSE)-VLOOKUP(K12,S3:U33,3,FALSE),VLOOKUP(K12,S3:U33,2,FALSE)-VLOOKUP(L12,S3:U33,2,FALSE))&lt;0,K13,IF(VLOOKUP(L12,S3:U33,3,FALSE)-VLOOKUP(K12,S3:U33,3,FALSE)&gt;VLOOKUP(K12,S3:U33,2,FALSE)-VLOOKUP(L12,S3:U33,2,FALSE),VLOOKUP(L12,S3:U33,3,FALSE),VLOOKUP(L12,S3:U33,2,FALSE))))))))</f>
        <v>1.5</v>
      </c>
      <c r="N13" s="26"/>
      <c r="R13" s="8">
        <v>4</v>
      </c>
      <c r="S13" s="9" t="s">
        <v>84</v>
      </c>
      <c r="T13" s="8">
        <v>4</v>
      </c>
      <c r="U13" s="8">
        <v>4</v>
      </c>
      <c r="Z13" s="51" t="str">
        <f>IF($C$3="1F",Z12,IF(RIGHT(K12,3)="左上り",$W$5+$K$22,IF(RIGHT(K12,3)="たすき",$W$5+$K$22,IF(RIGHT(K12,3)="右上り",IF(LEFT(K12,2)="合板",IF(K13&lt;&gt;0,Z12,"?"),"?"),IF(K13&lt;&gt;0,Z12,"?")))))</f>
        <v>?</v>
      </c>
      <c r="AA13" s="53">
        <f>IF($K$22="",$X$5,IF($C$3="1F",AA12,IF(RIGHT(K12,3)="左上り",$X$5+2700,IF(RIGHT(K12,3)="たすき",$X$5+2700,IF(RIGHT(K12,3)="右上り",IF(LEFT(K12,2)="合板",IF(K13&lt;&gt;0,$X$5+2700,"?"),"?"),IF(K13&lt;&gt;0,$X$5+2700,"?"))))))</f>
        <v>700</v>
      </c>
      <c r="AC13" s="51">
        <f>IF($L$22="",$W$5+$K$22*2,IF($C$3="1F",AC12,IF(RIGHT(L12,3)="左上り",$W$5+$K$22+$L$22,IF(RIGHT(L12,3)="たすき",$W$5+$K$22+$L$22,IF(RIGHT(L12,3)="右上り",IF(LEFT(L12,2)="合板",IF(L13&lt;&gt;0,AC12,"?"),"?"),IF(L13&lt;&gt;0,AC12,"?"))))))</f>
        <v>1616.6666666666665</v>
      </c>
      <c r="AD13" s="53">
        <f>IF($L$22="",$X$5+8100,IF($C$3="1F",AD12,IF(RIGHT(L12,3)="左上り",$X$5+2700,IF(RIGHT(L12,3)="たすき",$X$5+2700,IF(RIGHT(L12,3)="右上り",IF(LEFT(L12,2)="合板",IF(L13&lt;&gt;0,$X$5+2700,"?"),"?"),IF(L13&lt;&gt;0,$X$5+2700,"?"))))))</f>
        <v>3400</v>
      </c>
      <c r="AF13" s="49">
        <v>20</v>
      </c>
      <c r="AG13" s="50">
        <v>5</v>
      </c>
      <c r="AH13" s="50" t="s">
        <v>65</v>
      </c>
      <c r="AI13" s="50" t="s">
        <v>129</v>
      </c>
    </row>
    <row r="14" spans="1:35" ht="15" customHeight="1">
      <c r="A14" s="27"/>
      <c r="B14" s="28"/>
      <c r="C14" s="29"/>
      <c r="D14" s="91" t="s">
        <v>2</v>
      </c>
      <c r="E14" s="92"/>
      <c r="F14" s="90" t="s">
        <v>4</v>
      </c>
      <c r="G14" s="90"/>
      <c r="I14" s="23" t="str">
        <f>IF(C3="1F","RFL","2FL")</f>
        <v>2FL</v>
      </c>
      <c r="K14" s="30"/>
      <c r="L14" s="31"/>
      <c r="R14" s="8">
        <v>3</v>
      </c>
      <c r="S14" s="9" t="s">
        <v>15</v>
      </c>
      <c r="T14" s="8">
        <v>5</v>
      </c>
      <c r="U14" s="8">
        <v>1</v>
      </c>
      <c r="W14" s="51">
        <f>W5</f>
        <v>1010</v>
      </c>
      <c r="X14" s="53">
        <f>X5</f>
        <v>700</v>
      </c>
      <c r="AF14" s="49">
        <v>25</v>
      </c>
      <c r="AG14" s="50">
        <v>32</v>
      </c>
      <c r="AH14" s="50" t="s">
        <v>66</v>
      </c>
      <c r="AI14" s="50" t="s">
        <v>130</v>
      </c>
    </row>
    <row r="15" spans="1:35" ht="15" customHeight="1">
      <c r="A15" s="90" t="s">
        <v>7</v>
      </c>
      <c r="B15" s="90"/>
      <c r="C15" s="90"/>
      <c r="D15" s="93">
        <v>0.4</v>
      </c>
      <c r="E15" s="93"/>
      <c r="F15" s="93">
        <v>0.6</v>
      </c>
      <c r="G15" s="93"/>
      <c r="I15" s="18"/>
      <c r="K15" s="16"/>
      <c r="L15" s="17"/>
      <c r="R15" s="8">
        <v>3</v>
      </c>
      <c r="S15" s="9" t="s">
        <v>16</v>
      </c>
      <c r="T15" s="8">
        <v>1</v>
      </c>
      <c r="U15" s="8">
        <v>5</v>
      </c>
      <c r="W15" s="51">
        <f>W11</f>
        <v>1920</v>
      </c>
      <c r="X15" s="53">
        <f>X14</f>
        <v>700</v>
      </c>
      <c r="Z15" s="51" t="str">
        <f>IF($C$3="",$W$23,IF(RIGHT(K17,3)="右上り",$W$5,IF(RIGHT(K17,3)="たすき",$W$5,IF(RIGHT(K17,3)="左上り",IF(LEFT(K17,2)="合板",IF(K18&lt;&gt;0,$W$5+$K$22/2,"?"),"?"),IF(K18&lt;&gt;0,$W$5+$K$22/3,"?")))))</f>
        <v>?</v>
      </c>
      <c r="AA15" s="53">
        <f>IF($K$22="",$X$5,IF($C$3="",$X$23,IF(RIGHT(K17,3)="右上り",$X$5,IF(RIGHT(K17,3)="たすき",$X$5,IF(RIGHT(K17,3)="左上り",IF(LEFT(K17,2)="合板",IF(K18&lt;&gt;0,$X$5,"?"),"?"),IF(K18&lt;&gt;0,$X$5,"?"))))))</f>
        <v>700</v>
      </c>
      <c r="AC15" s="51">
        <f>IF($L$22="",$W$5+$K$22*2,IF($C$3="",$W$23,IF(RIGHT(L17,3)="右上り",$W$5+$K$22,IF(RIGHT(L17,3)="たすき",$W$5+$K$22,IF(RIGHT(L17,3)="左上り",IF(LEFT(L17,2)="合板",IF(L18&lt;&gt;0,$W$5+$K$22+$L$22/2,"?"),"?"),IF(L18&lt;&gt;0,$W$5+$K$22+$L$22/3,"?"))))))</f>
        <v>1313.3333333333333</v>
      </c>
      <c r="AD15" s="53">
        <f>IF($L$22="",$X$5+8100,IF($C$3="",$X$23,IF(RIGHT(L17,3)="右上り",$X$5,IF(RIGHT(L17,3)="たすき",$X$5,IF(RIGHT(L17,3)="左上り",IF(LEFT(L17,2)="合板",IF(L18&lt;&gt;0,$X$5,"?"),"?"),IF(L18&lt;&gt;0,$X$5,"?"))))))</f>
        <v>700</v>
      </c>
      <c r="AF15" s="49">
        <v>30</v>
      </c>
      <c r="AG15" s="50" t="s">
        <v>25</v>
      </c>
      <c r="AH15" s="50" t="s">
        <v>67</v>
      </c>
      <c r="AI15" s="50">
        <f>""</f>
      </c>
    </row>
    <row r="16" spans="1:35" ht="15" customHeight="1">
      <c r="A16" s="90" t="s">
        <v>8</v>
      </c>
      <c r="B16" s="90"/>
      <c r="C16" s="90"/>
      <c r="D16" s="93">
        <v>1</v>
      </c>
      <c r="E16" s="93"/>
      <c r="F16" s="93">
        <v>1.6</v>
      </c>
      <c r="G16" s="93"/>
      <c r="I16" s="18"/>
      <c r="K16" s="19"/>
      <c r="L16" s="20"/>
      <c r="R16" s="8">
        <v>5</v>
      </c>
      <c r="S16" s="9" t="s">
        <v>17</v>
      </c>
      <c r="T16" s="8">
        <v>5</v>
      </c>
      <c r="U16" s="8">
        <v>5</v>
      </c>
      <c r="Z16" s="51" t="str">
        <f>IF($C$3="",Z15,IF(RIGHT(K17,3)="右上り",$W$5+$K$22,IF(RIGHT(K17,3)="たすき",$W$5+$K$22,IF(RIGHT(K17,3)="左上り",IF(LEFT(K17,2)="合板",IF(K18&lt;&gt;0,Z15,"?"),"?"),IF(K18&lt;&gt;0,Z15,"?")))))</f>
        <v>?</v>
      </c>
      <c r="AA16" s="53">
        <f>IF($K$22="",$X$5,IF($C$3="",AA15,IF(RIGHT(K17,3)="右上り",$X$5+2700,IF(RIGHT(K17,3)="たすき",$X$5+2700,IF(RIGHT(K17,3)="左上り",IF(LEFT(K17,2)="合板",IF(K18&lt;&gt;0,$X$5+2700,"?"),"?"),IF(K18&lt;&gt;0,$X$5+2700,"?"))))))</f>
        <v>700</v>
      </c>
      <c r="AC16" s="51">
        <f>IF($L$22="",$W$5+$K$22*2,IF($C$3="",AC15,IF(RIGHT(L17,3)="右上り",$W$5+$K$22+$L$22,IF(RIGHT(L17,3)="たすき",$W$5+$K$22+$L$22,IF(RIGHT(L17,3)="左上り",IF(LEFT(L17,2)="合板",IF(L18&lt;&gt;0,AC15,"?"),"?"),IF(L18&lt;&gt;0,AC15,"?"))))))</f>
        <v>1313.3333333333333</v>
      </c>
      <c r="AD16" s="53">
        <f>IF($L$22="",$X$5+8100,IF($C$3="",AD15,IF(RIGHT(L17,3)="右上り",$X$5+2700,IF(RIGHT(L17,3)="たすき",$X$5+2700,IF(RIGHT(L17,3)="左上り",IF(LEFT(L17,2)="合板",IF(L18&lt;&gt;0,$X$5+2700,"?"),"?"),IF(L18&lt;&gt;0,$X$5+2700,"?"))))))</f>
        <v>3400</v>
      </c>
      <c r="AF16" s="49">
        <v>35</v>
      </c>
      <c r="AG16" s="50">
        <v>42</v>
      </c>
      <c r="AH16" s="50" t="s">
        <v>68</v>
      </c>
      <c r="AI16" s="50">
        <f>""</f>
      </c>
    </row>
    <row r="17" spans="1:35" ht="15" customHeight="1">
      <c r="A17" s="90" t="s">
        <v>9</v>
      </c>
      <c r="B17" s="90"/>
      <c r="C17" s="90"/>
      <c r="D17" s="93">
        <v>1.6</v>
      </c>
      <c r="E17" s="93"/>
      <c r="F17" s="93">
        <v>2.6</v>
      </c>
      <c r="G17" s="93"/>
      <c r="I17" s="88"/>
      <c r="K17" s="66" t="s">
        <v>110</v>
      </c>
      <c r="L17" s="67" t="s">
        <v>137</v>
      </c>
      <c r="R17" s="8">
        <v>0.5</v>
      </c>
      <c r="S17" s="9" t="s">
        <v>43</v>
      </c>
      <c r="T17" s="8">
        <v>0.5</v>
      </c>
      <c r="U17" s="8">
        <v>0.5</v>
      </c>
      <c r="W17" s="51">
        <f>IF($C$3="1F","?",IF(K12="セットバック",W5+K22,W5))</f>
        <v>1010</v>
      </c>
      <c r="X17" s="53">
        <f>IF($C$3="1F","?",IF($C$3="2F",X5+5400,IF($C$3="3F",X5+5400,"?")))</f>
        <v>6100</v>
      </c>
      <c r="Z17" s="51" t="str">
        <f>IF($C$3="",$W$23,IF(RIGHT(K17,3)="左上り",$W$5,IF(RIGHT(K17,3)="たすき",$W$5,IF(RIGHT(K17,3)="右上り",IF(LEFT(K17,2)="合板",IF(K18&lt;&gt;0,$W$5+$K$22*1/2,"?"),"?"),IF(K18&lt;&gt;0,$W$5+$K$22*2/3,"?")))))</f>
        <v>?</v>
      </c>
      <c r="AA17" s="53">
        <f>IF($K$22="",$X$5,IF($C$3="",$X$23,IF(RIGHT(K17,3)="左上り",$X$5+2700,IF(RIGHT(K17,3)="たすき",$X$5+2700,IF(RIGHT(K17,3)="右上り",IF(LEFT(K17,2)="合板",IF(K18&lt;&gt;0,$X$5+2700,"?"),"?"),IF(K18&lt;&gt;0,$X$5+2700,"?"))))))</f>
        <v>700</v>
      </c>
      <c r="AC17" s="51">
        <f>IF($L$22="",$W$5+$K$22*2,IF($C$3="",$W$23,IF(RIGHT(L17,3)="左上り",$W$5+$K$22,IF(RIGHT(L17,3)="たすき",$W$5+$K$22,IF(RIGHT(L17,3)="右上り",IF(LEFT(L17,2)="合板",IF(L18&lt;&gt;0,$W$5+$K$22+$L$22*1/2,"?"),"?"),IF(L18&lt;&gt;0,$W$5+$K$22+$L$22*2/3,"?"))))))</f>
        <v>1616.6666666666665</v>
      </c>
      <c r="AD17" s="53">
        <f>IF($L$22="",$X$5+8100,IF($C$3="",$X$23,IF(RIGHT(L17,3)="左上り",$X$5+2700,IF(RIGHT(L17,3)="たすき",$X$5+2700,IF(RIGHT(L17,3)="右上り",IF(LEFT(L17,2)="合板",IF(L18&lt;&gt;0,$X$5+2700,"?"),"?"),IF(L18&lt;&gt;0,$X$5+2700,"?"))))))</f>
        <v>3400</v>
      </c>
      <c r="AF17" s="49">
        <v>40</v>
      </c>
      <c r="AG17" s="50" t="s">
        <v>26</v>
      </c>
      <c r="AH17" s="50" t="s">
        <v>69</v>
      </c>
      <c r="AI17" s="50">
        <f>""</f>
      </c>
    </row>
    <row r="18" spans="9:35" ht="15" customHeight="1">
      <c r="I18" s="18"/>
      <c r="K18" s="21">
        <f>IF($K$22="",0,IF($K$22=0,0,IF(VLOOKUP(L17,S3:U33,3,FALSE)-VLOOKUP(K17,S3:U33,3,FALSE)&gt;VLOOKUP(K17,S3:U33,2,FALSE)-VLOOKUP(L17,S3:U33,2,FALSE),VLOOKUP(K17,S3:U33,3,FALSE),VLOOKUP(K17,S3:U33,2,FALSE))))</f>
        <v>0</v>
      </c>
      <c r="L18" s="22">
        <f>IF($L$22="",0,IF($L$22=0,0,IF($K$22="",VLOOKUP(L17,S3:U33,3,FALSE),IF($K$22=0,VLOOKUP(L17,S3:U33,3,FALSE),IF(MAX(VLOOKUP(L17,S3:U33,3,FALSE)-VLOOKUP(K17,S3:U33,3,FALSE),VLOOKUP(K17,S3:U33,2,FALSE)-VLOOKUP(L17,S3:U33,2,FALSE))&lt;0,K18,IF(VLOOKUP(L17,S3:U33,3,FALSE)-VLOOKUP(K17,S3:U33,3,FALSE)&gt;VLOOKUP(K17,S3:U33,2,FALSE)-VLOOKUP(L17,S3:U33,2,FALSE),VLOOKUP(L17,S3:U33,3,FALSE),VLOOKUP(L17,S3:U33,2,FALSE)))))))</f>
        <v>1.5</v>
      </c>
      <c r="R18" s="8">
        <v>1</v>
      </c>
      <c r="S18" s="9" t="s">
        <v>44</v>
      </c>
      <c r="T18" s="8">
        <v>1</v>
      </c>
      <c r="U18" s="8">
        <v>1</v>
      </c>
      <c r="W18" s="51">
        <f>IF($C$3="1F","?",IF(L12="セットバック",W5+K22,W11))</f>
        <v>1920</v>
      </c>
      <c r="X18" s="53">
        <f>X17</f>
        <v>6100</v>
      </c>
      <c r="Z18" s="51" t="str">
        <f>IF($C$3="",Z17,IF(RIGHT(K17,3)="左上り",$W$5+$K$22,IF(RIGHT(K17,3)="たすき",$W$5+$K$22,IF(RIGHT(K17,3)="右上り",IF(LEFT(K17,2)="合板",IF(K18&lt;&gt;0,Z17,"?"),"?"),IF(K18&lt;&gt;0,Z17,"?")))))</f>
        <v>?</v>
      </c>
      <c r="AA18" s="53">
        <f>IF($K$22="",$X$5,IF($C$3="",AA17,IF(RIGHT(K17,3)="左上り",$X$5,IF(RIGHT(K17,3)="たすき",$X$5,IF(RIGHT(K17,3)="右上り",IF(LEFT(K17,2)="合板",IF(K18&lt;&gt;0,$X$5,"?"),"?"),IF(K18&lt;&gt;0,$X$5,"?"))))))</f>
        <v>700</v>
      </c>
      <c r="AC18" s="51">
        <f>IF($L$22="",$W$5+$K$22*2,IF($C$3="",AC17,IF(RIGHT(L17,3)="左上り",$W$5+$K$22+$L$22,IF(RIGHT(L17,3)="たすき",$W$5+$K$22+$L$22,IF(RIGHT(L17,3)="右上り",IF(LEFT(L17,2)="合板",IF(L18&lt;&gt;0,AC17,"?"),"?"),IF(L18&lt;&gt;0,AC17,"?"))))))</f>
        <v>1616.6666666666665</v>
      </c>
      <c r="AD18" s="53">
        <f>IF($L$22="",$X$5+8100,IF($C$3="",AD17,IF(RIGHT(L17,3)="左上り",$X$5,IF(RIGHT(L17,3)="たすき",$X$5,IF(RIGHT(L17,3)="右上り",IF(LEFT(L17,2)="合板",IF(L18&lt;&gt;0,$X$5,"?"),"?"),IF(L18&lt;&gt;0,$X$5,"?"))))))</f>
        <v>700</v>
      </c>
      <c r="AF18" s="49">
        <v>45</v>
      </c>
      <c r="AG18" s="50">
        <v>52</v>
      </c>
      <c r="AH18" s="50" t="s">
        <v>70</v>
      </c>
      <c r="AI18" s="50">
        <f>""</f>
      </c>
    </row>
    <row r="19" spans="1:35" ht="15" customHeight="1">
      <c r="A19" s="7" t="s">
        <v>73</v>
      </c>
      <c r="I19" s="23" t="s">
        <v>13</v>
      </c>
      <c r="K19" s="30"/>
      <c r="L19" s="31"/>
      <c r="R19" s="8">
        <v>1</v>
      </c>
      <c r="S19" s="9" t="s">
        <v>38</v>
      </c>
      <c r="T19" s="8">
        <v>1</v>
      </c>
      <c r="U19" s="8">
        <v>1</v>
      </c>
      <c r="AF19" s="49">
        <v>50</v>
      </c>
      <c r="AG19" s="50" t="s">
        <v>85</v>
      </c>
      <c r="AH19" s="50" t="s">
        <v>71</v>
      </c>
      <c r="AI19" s="50">
        <f>""</f>
      </c>
    </row>
    <row r="20" spans="9:35" ht="15" customHeight="1">
      <c r="I20" s="23" t="s">
        <v>14</v>
      </c>
      <c r="J20" s="33"/>
      <c r="K20" s="34"/>
      <c r="L20" s="34"/>
      <c r="M20" s="33"/>
      <c r="N20" s="33"/>
      <c r="O20" s="33"/>
      <c r="P20" s="33"/>
      <c r="Q20" s="10"/>
      <c r="R20" s="8">
        <v>2</v>
      </c>
      <c r="S20" s="9" t="s">
        <v>39</v>
      </c>
      <c r="T20" s="8">
        <v>2</v>
      </c>
      <c r="U20" s="8">
        <v>2</v>
      </c>
      <c r="W20" s="51">
        <f>IF($C$3="1F",W5,IF($C$3="2F",W5,W5))</f>
        <v>1010</v>
      </c>
      <c r="X20" s="53">
        <f>IF($C$3="1F",X5+2700,IF($C$3="2F",X5+2700,IF($C$3="3F",X5+2700,"?")))</f>
        <v>3400</v>
      </c>
      <c r="AF20" s="49">
        <v>55</v>
      </c>
      <c r="AG20" s="50">
        <v>62</v>
      </c>
      <c r="AH20" s="50" t="s">
        <v>72</v>
      </c>
      <c r="AI20" s="50">
        <f>""</f>
      </c>
    </row>
    <row r="21" spans="1:35" ht="15" customHeight="1">
      <c r="A21" s="13" t="s">
        <v>10</v>
      </c>
      <c r="B21" s="7" t="str">
        <f>"N = "&amp;FIXED(ABS(K8-L8),1)&amp;" x "&amp;FIXED(F5,1)&amp;" - "&amp;FIXED(G5,1)&amp;" = "&amp;FIXED(ROUNDUP(ABS(K8-L8)*F5-G5,2),2)</f>
        <v>N = 1.5 x 0.5 - 0.6 = 0.15</v>
      </c>
      <c r="C21" s="4"/>
      <c r="K21" s="35">
        <f>IF(K22="","",IF(K22&lt;600,"合板も不可 ?",IF(K22&lt;900,"筋交不可 ?","")))</f>
      </c>
      <c r="L21" s="35">
        <f>IF(L22="","",IF(L22&lt;600,"合板も不可 ?",IF(L22&lt;900,"筋交不可 ?","")))</f>
      </c>
      <c r="R21" s="8">
        <v>1.5</v>
      </c>
      <c r="S21" s="9" t="s">
        <v>41</v>
      </c>
      <c r="T21" s="8">
        <v>1.5</v>
      </c>
      <c r="U21" s="8">
        <v>1.5</v>
      </c>
      <c r="W21" s="51">
        <f>IF($C$3="1F",W20+K22+L22,IF($C$3="2F",W20+K22+L22,W11))</f>
        <v>1920</v>
      </c>
      <c r="X21" s="53">
        <f>X20</f>
        <v>3400</v>
      </c>
      <c r="AA21" s="55"/>
      <c r="AF21" s="49">
        <v>60</v>
      </c>
      <c r="AG21" s="50" t="s">
        <v>131</v>
      </c>
      <c r="AH21" s="50" t="s">
        <v>132</v>
      </c>
      <c r="AI21" s="50">
        <f>""</f>
      </c>
    </row>
    <row r="22" spans="1:35" ht="15" customHeight="1">
      <c r="A22" s="13" t="s">
        <v>11</v>
      </c>
      <c r="B22" s="7" t="str">
        <f>IF(C3="3F","N = "&amp;FIXED(ABS(K8-L8),1)&amp;" x "&amp;FIXED(F5,1)&amp;" + "&amp;FIXED(ABS(K13-L13),1)&amp;" x "&amp;FIXED(F6,1)&amp;" - "&amp;FIXED(G6,1)&amp;" = "&amp;FIXED(ROUNDUP(ABS(K8-L8)*F5+ABS(K13-L13)*F6-G6,2),2),"N = "&amp;FIXED(ABS(K13-L13),1)&amp;" x "&amp;FIXED(F6,1)&amp;" - "&amp;FIXED(G6,1)&amp;" = "&amp;FIXED(ROUNDUP(ABS(K13-L13)*F6-G6,2),2))</f>
        <v>N = 1.5 x 0.5 + 1.5 x 0.8 - 1.0 = 0.95</v>
      </c>
      <c r="C22" s="4"/>
      <c r="K22" s="36"/>
      <c r="L22" s="37">
        <v>910</v>
      </c>
      <c r="O22" s="4" t="s">
        <v>29</v>
      </c>
      <c r="R22" s="8">
        <v>3</v>
      </c>
      <c r="S22" s="9" t="s">
        <v>42</v>
      </c>
      <c r="T22" s="8">
        <v>3</v>
      </c>
      <c r="U22" s="8">
        <v>3</v>
      </c>
      <c r="AF22" s="49">
        <v>65</v>
      </c>
      <c r="AG22" s="50">
        <v>72</v>
      </c>
      <c r="AH22" s="50" t="s">
        <v>133</v>
      </c>
      <c r="AI22" s="50">
        <f>""</f>
      </c>
    </row>
    <row r="23" spans="1:35" ht="15" customHeight="1">
      <c r="A23" s="13" t="s">
        <v>12</v>
      </c>
      <c r="B23" s="7" t="str">
        <f>IF(C3="3F","N = "&amp;FIXED(ABS(K8-L8),1)&amp;" x "&amp;FIXED(F5,1)&amp;" + "&amp;FIXED(ABS(K13-L13),1)&amp;" x "&amp;FIXED(F6,1)&amp;" + "&amp;FIXED(ABS(K18-L18),1)&amp;" x "&amp;FIXED(F7,1)&amp;" - "&amp;FIXED(G7,1)&amp;" = "&amp;FIXED(ROUNDUP(ABS(K8-L8)*F5+ABS(K13-L13)*F6+ABS(K18-L18)*F7-G7,2),2),IF(C3="2F","N = "&amp;FIXED(ABS(K13-L13),1)&amp;" x "&amp;FIXED(F6,1)&amp;" + "&amp;FIXED(ABS(K18-L18),1)&amp;" x "&amp;FIXED(F7,1)&amp;" - "&amp;FIXED(G7,1)&amp;" = "&amp;FIXED(ROUNDUP(ABS(K13-L13)*F6+ABS(K18-L18)*F7-G7,2),2),"N = "&amp;FIXED(ABS(K18-L18),1)&amp;" x "&amp;FIXED(F7,1)&amp;" - "&amp;FIXED(G7,1)&amp;" = "&amp;FIXED(ROUNDUP(ABS(K18-L18)*F7-G7,2),2)))</f>
        <v>N = 1.5 x 0.5 + 1.5 x 0.8 + 1.5 x 0.8 - 1.6 = 1.55</v>
      </c>
      <c r="C23" s="4"/>
      <c r="D23" s="38"/>
      <c r="E23" s="38"/>
      <c r="L23" s="39" t="str">
        <f>"(mm)"</f>
        <v>(mm)</v>
      </c>
      <c r="O23" s="32" t="s">
        <v>28</v>
      </c>
      <c r="R23" s="8">
        <v>2</v>
      </c>
      <c r="S23" s="9" t="s">
        <v>40</v>
      </c>
      <c r="T23" s="8">
        <v>2</v>
      </c>
      <c r="U23" s="8">
        <v>2</v>
      </c>
      <c r="W23" s="51">
        <f>W5+K22</f>
        <v>1010</v>
      </c>
      <c r="X23" s="53">
        <f>X14</f>
        <v>700</v>
      </c>
      <c r="AF23" s="49">
        <v>70</v>
      </c>
      <c r="AG23" s="50" t="s">
        <v>27</v>
      </c>
      <c r="AH23" s="50" t="s">
        <v>27</v>
      </c>
      <c r="AI23" s="50">
        <f>""</f>
      </c>
    </row>
    <row r="24" spans="3:24" ht="15" customHeight="1">
      <c r="C24" s="4"/>
      <c r="D24" s="38"/>
      <c r="E24" s="38"/>
      <c r="K24" s="99" t="s">
        <v>74</v>
      </c>
      <c r="L24" s="99"/>
      <c r="R24" s="8">
        <v>4</v>
      </c>
      <c r="S24" s="9" t="s">
        <v>45</v>
      </c>
      <c r="T24" s="8">
        <v>4</v>
      </c>
      <c r="U24" s="8">
        <v>4</v>
      </c>
      <c r="W24" s="51">
        <f>W23</f>
        <v>1010</v>
      </c>
      <c r="X24" s="53">
        <f>MAX(X6,X11)</f>
        <v>8800</v>
      </c>
    </row>
    <row r="25" spans="11:21" ht="15" customHeight="1">
      <c r="K25" s="98" t="s">
        <v>75</v>
      </c>
      <c r="L25" s="98"/>
      <c r="R25" s="8">
        <v>2.5</v>
      </c>
      <c r="S25" s="9" t="s">
        <v>46</v>
      </c>
      <c r="T25" s="8">
        <v>2.5</v>
      </c>
      <c r="U25" s="8">
        <v>2.5</v>
      </c>
    </row>
    <row r="26" spans="1:21" ht="15" customHeight="1">
      <c r="A26" s="7" t="s">
        <v>56</v>
      </c>
      <c r="C26" s="4"/>
      <c r="D26" s="38"/>
      <c r="E26" s="38"/>
      <c r="F26" s="10"/>
      <c r="G26" s="10"/>
      <c r="R26" s="8">
        <v>5</v>
      </c>
      <c r="S26" s="9" t="s">
        <v>47</v>
      </c>
      <c r="T26" s="8">
        <v>5</v>
      </c>
      <c r="U26" s="8">
        <v>5</v>
      </c>
    </row>
    <row r="27" spans="18:21" ht="15" customHeight="1">
      <c r="R27" s="8">
        <v>4.5</v>
      </c>
      <c r="S27" s="9" t="s">
        <v>108</v>
      </c>
      <c r="T27" s="8">
        <v>5</v>
      </c>
      <c r="U27" s="8">
        <v>4</v>
      </c>
    </row>
    <row r="28" spans="1:21" ht="15" customHeight="1">
      <c r="A28" s="13" t="s">
        <v>10</v>
      </c>
      <c r="B28" s="7" t="str">
        <f>IF((ABS(K8-L8)*F5-G5)*(5.3*MAX(I7,2700)/2700)&lt;=0,"N ≦ 0 より検討省略","T = "&amp;FIXED(ROUNDUP(ABS(K8-L8)*F5-G5,2),2)&amp;" x "&amp;FIXED(5.3*MAX(I7,2700)/2700,2)&amp;" = "&amp;FIXED(ROUNDUP(ROUNDUP(ABS(K8-L8)*F5-G5,2)*(5.3*MAX(I7,2700)/2700),2),2)&amp;" kN")</f>
        <v>T = 0.15 x 5.30 = 0.80 kN</v>
      </c>
      <c r="C28" s="4"/>
      <c r="R28" s="8">
        <v>4.5</v>
      </c>
      <c r="S28" s="9" t="s">
        <v>109</v>
      </c>
      <c r="T28" s="8">
        <v>4</v>
      </c>
      <c r="U28" s="8">
        <v>5</v>
      </c>
    </row>
    <row r="29" spans="1:23" ht="15" customHeight="1">
      <c r="A29" s="13" t="s">
        <v>11</v>
      </c>
      <c r="B29" s="7" t="str">
        <f>IF(C3="3F",IF((ABS(K8-L8)*F5+ABS(K13-L13)*F6-G6)*(5.3*MAX(I12,2700)/2700)&lt;=0,"N ≦ 0 より検討省略","T = "&amp;FIXED(ROUNDUP(ABS(K8-L8)*F5+ABS(K13-L13)*F6-G6,2),2)&amp;" x "&amp;FIXED(5.3*MAX(I12,2700)/2700,2)&amp;" = "&amp;FIXED(ROUNDUP(ROUNDUP(ABS(K8-L8)*F5+ABS(K13-L13)*F6-G6,2)*(5.3*MAX(I12,2700)/2700),2),2)&amp;" kN"),IF((ABS(K13-L13)*F6-G6)*(5.3*MAX(I12,2700)/2700)&lt;=0,"N ≦ 0 より検討省略","T = "&amp;FIXED(ROUNDUP(ABS(K13-L13)*F6-G6,2),2)&amp;" x "&amp;FIXED(5.3*MAX(I12,2700)/2700,2)&amp;" = "&amp;FIXED(ROUNDUP(ROUNDUP(ABS(K13-L13)*F6-G6,2)*(5.3*MAX(I12,2700)/2700),2),2)&amp;" kN"))</f>
        <v>T = 0.95 x 5.30 = 5.04 kN</v>
      </c>
      <c r="C29" s="4"/>
      <c r="R29" s="40"/>
      <c r="S29" s="9" t="s">
        <v>48</v>
      </c>
      <c r="T29" s="41">
        <v>1.5</v>
      </c>
      <c r="U29" s="41">
        <v>1.5</v>
      </c>
      <c r="V29" s="56" t="s">
        <v>94</v>
      </c>
      <c r="W29" s="57"/>
    </row>
    <row r="30" spans="1:23" ht="15" customHeight="1">
      <c r="A30" s="13" t="s">
        <v>12</v>
      </c>
      <c r="B30" s="7" t="str">
        <f>IF(C3="3F",IF((ABS(K8-L8)*F5+ABS(K13-L13)*F6+ABS(K18-L18)*F7-G7)*(5.3*MAX(I17,2700)/2700)&lt;=0,"N ≦ 0 より検討省略","T = "&amp;FIXED(ROUNDUP(ABS(K8-L8)*F5+ABS(K13-L13)*F6+ABS(K18-L18)*F7-G7,2),2)&amp;" x "&amp;FIXED(5.3*MAX(I17,2700)/2700,2)&amp;" = "&amp;FIXED(ROUNDUP(ROUNDUP(ABS(K8-L8)*F5+ABS(K13-L13)*F6+ABS(K18-L18)*F7-G7,2)*(5.3*MAX(I17,2700)/2700),2),2)&amp;" kN"),IF(C3="2F",IF((ABS(K13-L13)*F6+ABS(K18-L18)*F7-G7)*(5.3*MAX(I17,2700)/2700)&lt;=0,"N ≦ 0 より検討省略","T = "&amp;FIXED(ROUNDUP(ABS(K13-L13)*F6+ABS(K18-L18)*F7-G7,2),2)&amp;" x "&amp;FIXED(5.3*MAX(I17,2700)/2700,2)&amp;" = "&amp;FIXED(ROUNDUP(ROUNDUP(ABS(K13-L13)*F6+ABS(K18-L18)*F7-G7,2)*(5.3*MAX(I17,2700)/2700),2),2)&amp;" kN"),IF((ABS(K18-L18)*F7-G7)*(5.3*MAX(I17,2700)/2700)&lt;=0,"N ≦ 0 より検討省略","T = "&amp;FIXED(ROUNDUP(ABS(K18-L18)*F7-G7,2),2)&amp;" x "&amp;FIXED(5.3*MAX(I17,2700)/2700,2)&amp;" = "&amp;FIXED(ROUNDUP(ROUNDUP(ABS(K18-L18)*F7-G7,2)*(5.3*MAX(I17,2700)/2700),2),2)&amp;" kN")))</f>
        <v>T = 1.55 x 5.30 = 8.22 kN</v>
      </c>
      <c r="C30" s="4"/>
      <c r="H30" s="42"/>
      <c r="R30" s="40"/>
      <c r="S30" s="9" t="s">
        <v>49</v>
      </c>
      <c r="T30" s="41">
        <v>6.6</v>
      </c>
      <c r="U30" s="41">
        <v>2.5</v>
      </c>
      <c r="V30" s="58" t="s">
        <v>95</v>
      </c>
      <c r="W30" s="59"/>
    </row>
    <row r="31" spans="3:23" ht="15" customHeight="1">
      <c r="C31" s="4"/>
      <c r="H31" s="42"/>
      <c r="R31" s="40"/>
      <c r="S31" s="9" t="s">
        <v>50</v>
      </c>
      <c r="T31" s="41">
        <v>6.6</v>
      </c>
      <c r="U31" s="41">
        <v>3.5</v>
      </c>
      <c r="V31" s="58" t="s">
        <v>96</v>
      </c>
      <c r="W31" s="59"/>
    </row>
    <row r="32" spans="8:23" ht="15" customHeight="1">
      <c r="H32" s="42"/>
      <c r="R32" s="40"/>
      <c r="S32" s="9" t="s">
        <v>51</v>
      </c>
      <c r="T32" s="41">
        <v>6.6</v>
      </c>
      <c r="U32" s="41">
        <v>0.5</v>
      </c>
      <c r="V32" s="60"/>
      <c r="W32" s="59"/>
    </row>
    <row r="33" spans="1:23" ht="15" customHeight="1">
      <c r="A33" s="7" t="s">
        <v>32</v>
      </c>
      <c r="C33" s="4"/>
      <c r="R33" s="40"/>
      <c r="S33" s="9" t="s">
        <v>52</v>
      </c>
      <c r="T33" s="41">
        <v>6.6</v>
      </c>
      <c r="U33" s="41">
        <v>4.5</v>
      </c>
      <c r="V33" s="61"/>
      <c r="W33" s="62"/>
    </row>
    <row r="34" ht="15" customHeight="1">
      <c r="C34" s="4"/>
    </row>
    <row r="35" spans="1:11" ht="15" customHeight="1">
      <c r="A35" s="13" t="s">
        <v>10</v>
      </c>
      <c r="B35" s="43" t="str">
        <f>IF((ABS(K8-L8)*F5-G5)*(5.3*MAX(I7,2700)/2700)&lt;=0,"不要",VLOOKUP(ROUNDUP(ROUNDUP(ABS(K8-L8)*F5-G5,2)*(5.3*MAX(I7,2700)/2700),2),$AF$2:$AH$23,3,TRUE))</f>
        <v>かすがい打</v>
      </c>
      <c r="C35" s="4"/>
      <c r="G35" s="43"/>
      <c r="J35" s="95" t="str">
        <f>IF(B35="不要","",VLOOKUP(B35,$AH$2:$AI$23,2,FALSE))</f>
        <v>( い )</v>
      </c>
      <c r="K35" s="95"/>
    </row>
    <row r="36" spans="1:11" ht="15" customHeight="1">
      <c r="A36" s="13" t="s">
        <v>11</v>
      </c>
      <c r="B36" s="43" t="str">
        <f>IF(C3="3F",IF((ABS(K8-L8)*F5+ABS(K13-L13)*F6-G6)*(5.3*MAX(I12,2700)/2700)&lt;=0,"不要",VLOOKUP(ROUNDUP(ROUNDUP(ABS(K8-L8)*F5+ABS(K13-L13)*F6-G6,2)*(5.3*MAX(I12,2700)/2700),2),$AF$2:$AH$23,3,TRUE)),IF((ABS(K13-L13)*F6-G6)*(5.3*MAX(I12,2700)/2700)&lt;=0,"不要",VLOOKUP(ROUNDUP(ROUNDUP(ABS(K13-L13)*F6-G6,2)*(5.3*MAX(I12,2700)/2700),2),$AF$2:$AH$23,3,TRUE)))</f>
        <v>Ｔ字型かど金物</v>
      </c>
      <c r="C36" s="4"/>
      <c r="J36" s="95" t="str">
        <f>IF(B36="不要","",VLOOKUP(B36,$AH$2:$AI$23,2,FALSE))</f>
        <v>( は )</v>
      </c>
      <c r="K36" s="95"/>
    </row>
    <row r="37" spans="1:11" ht="13.5">
      <c r="A37" s="13" t="s">
        <v>12</v>
      </c>
      <c r="B37" s="43" t="str">
        <f>IF(C3="3F",IF((ABS(K8-L8)*F5+ABS(K13-L13)*F6+ABS(K18-L18)*F7-G7)*(5.3*MAX(I17,2700)/2700)&lt;=0,"不要",VLOOKUP(ROUNDUP(ROUNDUP(ABS(K8-L8)*F5+ABS(K13-L13)*F6+ABS(K18-L18)*F7-G7,2)*(5.3*MAX(I17,2700)/2700),2),$AF$2:$AH$23,3,TRUE)),IF(C3="2F",IF((ABS(K13-L13)*F6+ABS(K18-L18)*F7-G7)*(5.3*MAX(I17,2700)/2700)&lt;=0,"不要",VLOOKUP(ROUNDUP(ROUNDUP(ABS(K13-L13)*F6+ABS(K18-L18)*F7-G7,2)*(5.3*MAX(I17,2700)/2700),2),$AF$2:$AH$23,3,TRUE)),IF((ABS(K18-L18)*F7-G7)*(5.3*MAX(I17,2700)/2700)&lt;=0,"不要",VLOOKUP(ROUNDUP(ROUNDUP(ABS(K18-L18)*F7-G7,2)*(5.3*MAX(I17,2700)/2700),2),$AF$2:$AH$23,3,TRUE))))</f>
        <v>羽子板ボルトφ12㎜に長さ50㎜径4.5㎜スクリュー釘</v>
      </c>
      <c r="J37" s="95" t="str">
        <f>IF(B37="不要","",VLOOKUP(B37,$AH$2:$AI$23,2,FALSE))</f>
        <v>( ほ )</v>
      </c>
      <c r="K37" s="95"/>
    </row>
    <row r="38" spans="3:35" s="2" customFormat="1" ht="15" customHeight="1">
      <c r="C38" s="87">
        <f>IF(C3="3F",IF(ROUNDUP(ROUNDUP((ABS(K8-L8)*F5+ABS(K13-L13)*F6+ABS(K18-L18)*F7-G7),2)*5.3,2)&lt;25,"","( アンカーボルト注意 )"),IF(C3="2F",IF(ROUNDUP(ROUNDUP((ABS(K13-L13)*F6+ABS(K18-L18)*F7-G7),2)*5.3,2)&lt;25,"","( アンカーボルト注意 )"),IF(ROUNDUP(ROUNDUP((ABS(K18-L18)*F7-G7),2)*5.3,2)&lt;25,"","( アンカーボルト注意 )")))</f>
      </c>
      <c r="W38" s="63"/>
      <c r="X38" s="63"/>
      <c r="Y38" s="63"/>
      <c r="Z38" s="64"/>
      <c r="AA38" s="64"/>
      <c r="AB38" s="64"/>
      <c r="AC38" s="64"/>
      <c r="AD38" s="64"/>
      <c r="AE38" s="64"/>
      <c r="AF38" s="64"/>
      <c r="AG38" s="64"/>
      <c r="AH38" s="64"/>
      <c r="AI38" s="63"/>
    </row>
    <row r="39" spans="2:35" s="2" customFormat="1" ht="15" customHeight="1">
      <c r="B39" s="63">
        <f>IF(C3="3F",IF(ROUNDUP(ROUNDUP((ABS(K8-L8)*F5+ABS(K13-L13)*F6+ABS(K18-L18)*F7-G7),2)*5.3,2)&lt;35,"","(35kNを超えるホールダウン金物は現状ではないので計画の見直し等が必要)"),IF(C3="2F",IF(ROUNDUP(ROUNDUP((ABS(K13-L13)*F6+ABS(K18-L18)*F7-G7),2)*5.3,2)&lt;35,"","(35kNを超えるホールダウン金物は現状ではないので計画の見直し等が必要)"),IF(ROUNDUP(ROUNDUP((ABS(K18-L18)*F7-G7),2)*5.3,2)&lt;35,"","(35kNを超えるホールダウン金物は現状ではないので計画の見直し等が必要)")))</f>
      </c>
      <c r="W39" s="63"/>
      <c r="X39" s="63"/>
      <c r="Y39" s="63"/>
      <c r="Z39" s="64"/>
      <c r="AA39" s="64"/>
      <c r="AB39" s="64"/>
      <c r="AC39" s="64"/>
      <c r="AD39" s="64"/>
      <c r="AE39" s="64"/>
      <c r="AF39" s="64"/>
      <c r="AG39" s="64"/>
      <c r="AH39" s="64"/>
      <c r="AI39" s="63"/>
    </row>
  </sheetData>
  <sheetProtection sheet="1" objects="1" scenarios="1"/>
  <mergeCells count="27">
    <mergeCell ref="F14:G14"/>
    <mergeCell ref="D10:E10"/>
    <mergeCell ref="J36:K36"/>
    <mergeCell ref="J37:K37"/>
    <mergeCell ref="K24:L24"/>
    <mergeCell ref="F16:G16"/>
    <mergeCell ref="F17:G17"/>
    <mergeCell ref="A17:C17"/>
    <mergeCell ref="A16:C16"/>
    <mergeCell ref="A15:C15"/>
    <mergeCell ref="E3:G3"/>
    <mergeCell ref="K25:L25"/>
    <mergeCell ref="F10:G10"/>
    <mergeCell ref="D17:E17"/>
    <mergeCell ref="D5:E5"/>
    <mergeCell ref="F11:G11"/>
    <mergeCell ref="D16:E16"/>
    <mergeCell ref="A11:C11"/>
    <mergeCell ref="D14:E14"/>
    <mergeCell ref="D11:E11"/>
    <mergeCell ref="A3:B3"/>
    <mergeCell ref="A5:B5"/>
    <mergeCell ref="J35:K35"/>
    <mergeCell ref="D6:E6"/>
    <mergeCell ref="D7:E7"/>
    <mergeCell ref="F15:G15"/>
    <mergeCell ref="D15:E15"/>
  </mergeCells>
  <conditionalFormatting sqref="A21:B21 C5:H5 A28:B28 A35:B35 J35 G35">
    <cfRule type="expression" priority="1" dxfId="16" stopIfTrue="1">
      <formula>$C$3&lt;&gt;"3F"</formula>
    </cfRule>
  </conditionalFormatting>
  <conditionalFormatting sqref="A22:B22 C6:H6 A29:B29 A36:B36">
    <cfRule type="expression" priority="2" dxfId="16" stopIfTrue="1">
      <formula>$C$3="1F"</formula>
    </cfRule>
  </conditionalFormatting>
  <conditionalFormatting sqref="D26:E26 D23:E24">
    <cfRule type="expression" priority="3" dxfId="16" stopIfTrue="1">
      <formula>$C$22=""</formula>
    </cfRule>
  </conditionalFormatting>
  <conditionalFormatting sqref="K5:K6 K9:K11 K14:K19">
    <cfRule type="expression" priority="4" dxfId="16" stopIfTrue="1">
      <formula>$K$22=""</formula>
    </cfRule>
  </conditionalFormatting>
  <conditionalFormatting sqref="L5:L6 L9:L11 L14:L19">
    <cfRule type="expression" priority="5" dxfId="16" stopIfTrue="1">
      <formula>$L$22=""</formula>
    </cfRule>
  </conditionalFormatting>
  <conditionalFormatting sqref="K7:K8">
    <cfRule type="expression" priority="6" dxfId="16" stopIfTrue="1">
      <formula>$K$22=""</formula>
    </cfRule>
    <cfRule type="expression" priority="7" dxfId="16" stopIfTrue="1">
      <formula>$C$3&lt;&gt;"3F"</formula>
    </cfRule>
  </conditionalFormatting>
  <conditionalFormatting sqref="L7:L8">
    <cfRule type="expression" priority="8" dxfId="16" stopIfTrue="1">
      <formula>$L$22=""</formula>
    </cfRule>
    <cfRule type="expression" priority="9" dxfId="16" stopIfTrue="1">
      <formula>$C$3&lt;&gt;"3F"</formula>
    </cfRule>
  </conditionalFormatting>
  <conditionalFormatting sqref="K12:K13">
    <cfRule type="expression" priority="10" dxfId="16" stopIfTrue="1">
      <formula>$K$22=""</formula>
    </cfRule>
    <cfRule type="expression" priority="11" dxfId="16" stopIfTrue="1">
      <formula>$C$3="1F"</formula>
    </cfRule>
  </conditionalFormatting>
  <conditionalFormatting sqref="L12:L13">
    <cfRule type="expression" priority="12" dxfId="16" stopIfTrue="1">
      <formula>$L$22=""</formula>
    </cfRule>
    <cfRule type="expression" priority="13" dxfId="16" stopIfTrue="1">
      <formula>$C$3="1F"</formula>
    </cfRule>
  </conditionalFormatting>
  <conditionalFormatting sqref="T29:U33">
    <cfRule type="cellIs" priority="14" dxfId="17" operator="greaterThan" stopIfTrue="1">
      <formula>7</formula>
    </cfRule>
  </conditionalFormatting>
  <conditionalFormatting sqref="J36">
    <cfRule type="expression" priority="15" dxfId="16" stopIfTrue="1">
      <formula>$C$3="1F"</formula>
    </cfRule>
  </conditionalFormatting>
  <dataValidations count="4">
    <dataValidation type="list" allowBlank="1" showInputMessage="1" showErrorMessage="1" sqref="C3">
      <formula1>$X$1:$X$3</formula1>
    </dataValidation>
    <dataValidation type="list" allowBlank="1" showInputMessage="1" showErrorMessage="1" sqref="D5:D7">
      <formula1>$Z$1:$Z$2</formula1>
    </dataValidation>
    <dataValidation type="list" allowBlank="1" showInputMessage="1" showErrorMessage="1" sqref="K12:L12 K7:L7">
      <formula1>$S$3:$S$33</formula1>
    </dataValidation>
    <dataValidation type="list" allowBlank="1" showInputMessage="1" showErrorMessage="1" sqref="K17:L17">
      <formula1>$S$4:$S$33</formula1>
    </dataValidation>
  </dataValidations>
  <printOptions horizontalCentered="1"/>
  <pageMargins left="0.5905511811023623" right="0.5905511811023623" top="1.3779527559055118" bottom="0.5905511811023623" header="0.984251968503937" footer="0.3937007874015748"/>
  <pageSetup fitToHeight="1" fitToWidth="1" horizontalDpi="600" verticalDpi="600" orientation="landscape" paperSize="9" scale="86" r:id="rId4"/>
  <headerFooter alignWithMargins="0">
    <oddHeader>&amp;C&amp;10&amp;A&amp;R&amp;10&amp;D &amp;T  &amp;F</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7">
    <pageSetUpPr fitToPage="1"/>
  </sheetPr>
  <dimension ref="A2:F32"/>
  <sheetViews>
    <sheetView zoomScalePageLayoutView="0" workbookViewId="0" topLeftCell="A1">
      <selection activeCell="A1" sqref="A1"/>
    </sheetView>
  </sheetViews>
  <sheetFormatPr defaultColWidth="9.00390625" defaultRowHeight="15.75" customHeight="1"/>
  <cols>
    <col min="1" max="1" width="5.625" style="86" customWidth="1"/>
    <col min="2" max="2" width="12.625" style="69" customWidth="1"/>
    <col min="3" max="3" width="5.625" style="69" customWidth="1"/>
    <col min="4" max="4" width="45.625" style="69" customWidth="1"/>
    <col min="5" max="5" width="25.625" style="69" customWidth="1"/>
    <col min="6" max="6" width="43.625" style="70" customWidth="1"/>
    <col min="7" max="16384" width="9.00390625" style="69" customWidth="1"/>
  </cols>
  <sheetData>
    <row r="1" ht="15.75" customHeight="1" thickBot="1"/>
    <row r="2" spans="2:6" ht="15.75" customHeight="1" thickBot="1">
      <c r="B2" s="71"/>
      <c r="C2" s="72" t="s">
        <v>111</v>
      </c>
      <c r="D2" s="72" t="s">
        <v>114</v>
      </c>
      <c r="E2" s="72" t="s">
        <v>115</v>
      </c>
      <c r="F2" s="73" t="s">
        <v>116</v>
      </c>
    </row>
    <row r="3" spans="1:6" ht="15.75" customHeight="1">
      <c r="A3" s="86">
        <v>1</v>
      </c>
      <c r="B3" s="74"/>
      <c r="C3" s="75"/>
      <c r="D3" s="76"/>
      <c r="E3" s="76"/>
      <c r="F3" s="77"/>
    </row>
    <row r="4" spans="1:6" ht="15.75" customHeight="1">
      <c r="A4" s="86">
        <v>2</v>
      </c>
      <c r="B4" s="78"/>
      <c r="C4" s="79"/>
      <c r="D4" s="80"/>
      <c r="E4" s="80"/>
      <c r="F4" s="81"/>
    </row>
    <row r="5" spans="1:6" ht="15.75" customHeight="1">
      <c r="A5" s="86">
        <v>3</v>
      </c>
      <c r="B5" s="78"/>
      <c r="C5" s="79"/>
      <c r="D5" s="80"/>
      <c r="E5" s="80"/>
      <c r="F5" s="81"/>
    </row>
    <row r="6" spans="1:6" ht="15.75" customHeight="1">
      <c r="A6" s="86">
        <v>4</v>
      </c>
      <c r="B6" s="78"/>
      <c r="C6" s="79"/>
      <c r="D6" s="80"/>
      <c r="E6" s="80"/>
      <c r="F6" s="81"/>
    </row>
    <row r="7" spans="1:6" ht="15.75" customHeight="1">
      <c r="A7" s="86">
        <v>5</v>
      </c>
      <c r="B7" s="78"/>
      <c r="C7" s="79"/>
      <c r="D7" s="80"/>
      <c r="E7" s="80"/>
      <c r="F7" s="81"/>
    </row>
    <row r="8" spans="1:6" ht="15.75" customHeight="1">
      <c r="A8" s="86">
        <v>6</v>
      </c>
      <c r="B8" s="78"/>
      <c r="C8" s="79"/>
      <c r="D8" s="80"/>
      <c r="E8" s="80"/>
      <c r="F8" s="81"/>
    </row>
    <row r="9" spans="1:6" ht="15.75" customHeight="1">
      <c r="A9" s="86">
        <v>7</v>
      </c>
      <c r="B9" s="78"/>
      <c r="C9" s="79"/>
      <c r="D9" s="80"/>
      <c r="E9" s="80"/>
      <c r="F9" s="81"/>
    </row>
    <row r="10" spans="1:6" ht="15.75" customHeight="1">
      <c r="A10" s="86">
        <v>8</v>
      </c>
      <c r="B10" s="78"/>
      <c r="C10" s="79"/>
      <c r="D10" s="80"/>
      <c r="E10" s="80"/>
      <c r="F10" s="81"/>
    </row>
    <row r="11" spans="1:6" ht="15.75" customHeight="1">
      <c r="A11" s="86">
        <v>9</v>
      </c>
      <c r="B11" s="78"/>
      <c r="C11" s="79"/>
      <c r="D11" s="80"/>
      <c r="E11" s="80"/>
      <c r="F11" s="81"/>
    </row>
    <row r="12" spans="1:6" ht="15.75" customHeight="1">
      <c r="A12" s="86">
        <v>10</v>
      </c>
      <c r="B12" s="78"/>
      <c r="C12" s="79"/>
      <c r="D12" s="80"/>
      <c r="E12" s="80"/>
      <c r="F12" s="81"/>
    </row>
    <row r="13" spans="1:6" ht="15.75" customHeight="1">
      <c r="A13" s="86">
        <v>11</v>
      </c>
      <c r="B13" s="78"/>
      <c r="C13" s="79"/>
      <c r="D13" s="80"/>
      <c r="E13" s="80"/>
      <c r="F13" s="81"/>
    </row>
    <row r="14" spans="1:6" ht="15.75" customHeight="1">
      <c r="A14" s="86">
        <v>12</v>
      </c>
      <c r="B14" s="78"/>
      <c r="C14" s="79"/>
      <c r="D14" s="80"/>
      <c r="E14" s="80"/>
      <c r="F14" s="81"/>
    </row>
    <row r="15" spans="1:6" ht="15.75" customHeight="1">
      <c r="A15" s="86">
        <v>13</v>
      </c>
      <c r="B15" s="78"/>
      <c r="C15" s="79"/>
      <c r="D15" s="80"/>
      <c r="E15" s="80"/>
      <c r="F15" s="81"/>
    </row>
    <row r="16" spans="1:6" ht="15.75" customHeight="1">
      <c r="A16" s="86">
        <v>14</v>
      </c>
      <c r="B16" s="78"/>
      <c r="C16" s="79"/>
      <c r="D16" s="80"/>
      <c r="E16" s="80"/>
      <c r="F16" s="81"/>
    </row>
    <row r="17" spans="1:6" ht="15.75" customHeight="1">
      <c r="A17" s="86">
        <v>15</v>
      </c>
      <c r="B17" s="78"/>
      <c r="C17" s="79"/>
      <c r="D17" s="80"/>
      <c r="E17" s="80"/>
      <c r="F17" s="81"/>
    </row>
    <row r="18" spans="1:6" ht="15.75" customHeight="1">
      <c r="A18" s="86">
        <v>16</v>
      </c>
      <c r="B18" s="78"/>
      <c r="C18" s="79"/>
      <c r="D18" s="80"/>
      <c r="E18" s="80"/>
      <c r="F18" s="81"/>
    </row>
    <row r="19" spans="1:6" ht="15.75" customHeight="1">
      <c r="A19" s="86">
        <v>17</v>
      </c>
      <c r="B19" s="78"/>
      <c r="C19" s="79"/>
      <c r="D19" s="80"/>
      <c r="E19" s="80"/>
      <c r="F19" s="81"/>
    </row>
    <row r="20" spans="1:6" ht="15.75" customHeight="1">
      <c r="A20" s="86">
        <v>18</v>
      </c>
      <c r="B20" s="78"/>
      <c r="C20" s="79"/>
      <c r="D20" s="80"/>
      <c r="E20" s="80"/>
      <c r="F20" s="81"/>
    </row>
    <row r="21" spans="1:6" ht="15.75" customHeight="1">
      <c r="A21" s="86">
        <v>19</v>
      </c>
      <c r="B21" s="78"/>
      <c r="C21" s="79"/>
      <c r="D21" s="80"/>
      <c r="E21" s="80"/>
      <c r="F21" s="81"/>
    </row>
    <row r="22" spans="1:6" ht="15.75" customHeight="1">
      <c r="A22" s="86">
        <v>20</v>
      </c>
      <c r="B22" s="78"/>
      <c r="C22" s="79"/>
      <c r="D22" s="80"/>
      <c r="E22" s="80"/>
      <c r="F22" s="81"/>
    </row>
    <row r="23" spans="1:6" ht="15.75" customHeight="1">
      <c r="A23" s="86">
        <v>21</v>
      </c>
      <c r="B23" s="78"/>
      <c r="C23" s="79"/>
      <c r="D23" s="80"/>
      <c r="E23" s="80"/>
      <c r="F23" s="81"/>
    </row>
    <row r="24" spans="1:6" ht="15.75" customHeight="1">
      <c r="A24" s="86">
        <v>22</v>
      </c>
      <c r="B24" s="78"/>
      <c r="C24" s="79"/>
      <c r="D24" s="80"/>
      <c r="E24" s="80"/>
      <c r="F24" s="81"/>
    </row>
    <row r="25" spans="1:6" ht="15.75" customHeight="1">
      <c r="A25" s="86">
        <v>23</v>
      </c>
      <c r="B25" s="78"/>
      <c r="C25" s="79"/>
      <c r="D25" s="80"/>
      <c r="E25" s="80"/>
      <c r="F25" s="81"/>
    </row>
    <row r="26" spans="1:6" ht="15.75" customHeight="1">
      <c r="A26" s="86">
        <v>24</v>
      </c>
      <c r="B26" s="78"/>
      <c r="C26" s="79"/>
      <c r="D26" s="80"/>
      <c r="E26" s="80"/>
      <c r="F26" s="81"/>
    </row>
    <row r="27" spans="1:6" ht="15.75" customHeight="1">
      <c r="A27" s="86">
        <v>25</v>
      </c>
      <c r="B27" s="78"/>
      <c r="C27" s="79"/>
      <c r="D27" s="80"/>
      <c r="E27" s="80"/>
      <c r="F27" s="81"/>
    </row>
    <row r="28" spans="1:6" ht="15.75" customHeight="1">
      <c r="A28" s="86">
        <v>26</v>
      </c>
      <c r="B28" s="78"/>
      <c r="C28" s="79"/>
      <c r="D28" s="80"/>
      <c r="E28" s="80"/>
      <c r="F28" s="81"/>
    </row>
    <row r="29" spans="1:6" ht="15.75" customHeight="1">
      <c r="A29" s="86">
        <v>27</v>
      </c>
      <c r="B29" s="78"/>
      <c r="C29" s="79"/>
      <c r="D29" s="80"/>
      <c r="E29" s="80"/>
      <c r="F29" s="81"/>
    </row>
    <row r="30" spans="1:6" ht="15.75" customHeight="1">
      <c r="A30" s="86">
        <v>28</v>
      </c>
      <c r="B30" s="78"/>
      <c r="C30" s="79"/>
      <c r="D30" s="80"/>
      <c r="E30" s="80"/>
      <c r="F30" s="81"/>
    </row>
    <row r="31" spans="1:6" ht="15.75" customHeight="1">
      <c r="A31" s="86">
        <v>29</v>
      </c>
      <c r="B31" s="78"/>
      <c r="C31" s="79"/>
      <c r="D31" s="80"/>
      <c r="E31" s="80"/>
      <c r="F31" s="81"/>
    </row>
    <row r="32" spans="1:6" ht="15.75" customHeight="1" thickBot="1">
      <c r="A32" s="86">
        <v>30</v>
      </c>
      <c r="B32" s="82"/>
      <c r="C32" s="83"/>
      <c r="D32" s="84"/>
      <c r="E32" s="84"/>
      <c r="F32" s="85"/>
    </row>
  </sheetData>
  <sheetProtection sheet="1" objects="1" scenarios="1"/>
  <conditionalFormatting sqref="F3:F32">
    <cfRule type="cellIs" priority="1" dxfId="16" operator="equal" stopIfTrue="1">
      <formula>"不要"</formula>
    </cfRule>
  </conditionalFormatting>
  <printOptions horizontalCentered="1"/>
  <pageMargins left="0.5905511811023623" right="0.5905511811023623" top="1.3779527559055118" bottom="0.5905511811023623" header="0.984251968503937" footer="0.3937007874015748"/>
  <pageSetup fitToHeight="1" fitToWidth="1" horizontalDpi="600" verticalDpi="600" orientation="landscape" paperSize="9" r:id="rId1"/>
  <headerFooter alignWithMargins="0">
    <oddHeader>&amp;C&amp;10&amp;A&amp;R&amp;10&amp;F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木造N値計算法</dc:title>
  <dc:subject/>
  <dc:creator>ルート構造設計事務所</dc:creator>
  <cp:keywords/>
  <dc:description/>
  <cp:lastModifiedBy>ルート構造設計事務所</cp:lastModifiedBy>
  <cp:lastPrinted>2013-09-13T05:45:14Z</cp:lastPrinted>
  <dcterms:created xsi:type="dcterms:W3CDTF">2001-05-26T03:46:15Z</dcterms:created>
  <dcterms:modified xsi:type="dcterms:W3CDTF">2014-12-12T13:43:05Z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